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รวมกลาง" sheetId="1" r:id="rId4"/>
    <sheet state="visible" name="กาญจนบุรี" sheetId="2" r:id="rId5"/>
    <sheet state="visible" name="จันทบุรี" sheetId="3" r:id="rId6"/>
    <sheet state="visible" name="ฉะเชิงเทรา" sheetId="4" r:id="rId7"/>
    <sheet state="visible" name="ชลบุรี" sheetId="5" r:id="rId8"/>
    <sheet state="visible" name="ชัยนาท" sheetId="6" r:id="rId9"/>
    <sheet state="visible" name="ตราด" sheetId="7" r:id="rId10"/>
    <sheet state="visible" name="นครนายก" sheetId="8" r:id="rId11"/>
    <sheet state="visible" name="นครปฐม" sheetId="9" r:id="rId12"/>
    <sheet state="visible" name="ปทุมธานี" sheetId="10" r:id="rId13"/>
    <sheet state="visible" name="ประจวบคีรีขันธ์" sheetId="11" r:id="rId14"/>
    <sheet state="visible" name="ปราจีนบุรี" sheetId="12" r:id="rId15"/>
    <sheet state="visible" name="พระนครศรีอยุธยา" sheetId="13" r:id="rId16"/>
    <sheet state="visible" name="เพชรบุรี" sheetId="14" r:id="rId17"/>
    <sheet state="visible" name="ระยอง" sheetId="15" r:id="rId18"/>
    <sheet state="visible" name="ราชบุรี" sheetId="16" r:id="rId19"/>
    <sheet state="visible" name="ลพบุรี" sheetId="17" r:id="rId20"/>
    <sheet state="visible" name="สระแก้ว" sheetId="18" r:id="rId21"/>
    <sheet state="visible" name="สระบุรี" sheetId="19" r:id="rId22"/>
    <sheet state="visible" name="สิงห์บุรี" sheetId="20" r:id="rId23"/>
    <sheet state="visible" name="สุพรรณบุรี" sheetId="21" r:id="rId24"/>
    <sheet state="visible" name="อ่างทอง" sheetId="22" r:id="rId25"/>
  </sheets>
  <definedNames/>
  <calcPr/>
</workbook>
</file>

<file path=xl/sharedStrings.xml><?xml version="1.0" encoding="utf-8"?>
<sst xmlns="http://schemas.openxmlformats.org/spreadsheetml/2006/main" count="27500" uniqueCount="281">
  <si>
    <t>รายละเอียดแผนงาน/โครงการ ผลผลิต/กิจกรรม ปีงบประมาณ พ.ศ. 2565</t>
  </si>
  <si>
    <t>ภาคกลาง</t>
  </si>
  <si>
    <t>ข้อมูล ณ วันที่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</si>
  <si>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</si>
  <si>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</si>
  <si>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</si>
  <si>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</si>
  <si>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</si>
  <si>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</si>
  <si>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</si>
  <si>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</si>
  <si>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</si>
  <si>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</si>
  <si>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</si>
  <si>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</si>
  <si>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</si>
  <si>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</si>
  <si>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</si>
  <si>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</si>
  <si>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</si>
  <si>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</si>
  <si>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</si>
  <si>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</si>
  <si>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</si>
  <si>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</si>
  <si>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</si>
  <si>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</si>
  <si>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</si>
  <si>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</si>
  <si>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</si>
  <si>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</si>
  <si>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</si>
  <si>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</si>
  <si>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</si>
  <si>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</si>
  <si>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</si>
  <si>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</si>
  <si>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</si>
  <si>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</si>
  <si>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</si>
  <si>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</si>
  <si>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</si>
  <si>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</si>
  <si>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</si>
  <si>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</si>
  <si>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</si>
  <si>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</si>
  <si>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</si>
  <si>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</si>
  <si>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</si>
  <si>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</si>
  <si>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</si>
  <si>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</si>
  <si>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</si>
  <si>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</si>
  <si>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</si>
  <si>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</si>
  <si>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</si>
  <si>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</si>
  <si>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</si>
  <si>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</si>
  <si>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</si>
  <si>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</si>
  <si>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</si>
  <si>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</si>
  <si>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</si>
  <si>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</si>
  <si>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</si>
  <si>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</si>
  <si>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</si>
  <si>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</si>
  <si>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</si>
  <si>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</si>
  <si>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</si>
  <si>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</si>
  <si>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</si>
  <si>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</si>
  <si>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</si>
  <si>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</si>
  <si>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</si>
  <si>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</si>
  <si>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</si>
  <si>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</si>
  <si>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</si>
  <si>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</si>
  <si>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</si>
  <si>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</si>
  <si>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</si>
  <si>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</si>
  <si>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</si>
  <si>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</si>
  <si>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</si>
  <si>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</si>
  <si>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</si>
  <si>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</si>
  <si>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</si>
  <si>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</si>
  <si>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</si>
  <si>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</si>
  <si>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</si>
  <si>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</si>
  <si>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</si>
  <si>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</si>
  <si>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</si>
  <si>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</si>
  <si>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</si>
  <si>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</si>
  <si>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</si>
  <si>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</si>
  <si>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</si>
  <si>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</si>
  <si>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</si>
  <si>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</si>
  <si>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</si>
  <si>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</si>
  <si>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</si>
  <si>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</si>
  <si>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</si>
  <si>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</si>
  <si>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</si>
  <si>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</si>
  <si>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</si>
  <si>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</si>
  <si>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</si>
  <si>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</si>
  <si>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</si>
  <si>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</si>
  <si>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</si>
  <si>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</si>
  <si>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</si>
  <si>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</si>
  <si>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</si>
  <si>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</si>
  <si>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</si>
  <si>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</si>
  <si>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</si>
  <si>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</si>
  <si>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</si>
  <si>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</si>
  <si>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</si>
  <si>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</si>
  <si>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</si>
  <si>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</si>
  <si>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</si>
  <si>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</si>
  <si>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</si>
  <si>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</si>
  <si>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</si>
  <si>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</si>
  <si>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</si>
  <si>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</si>
  <si>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</si>
  <si>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</si>
  <si>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</si>
  <si>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</si>
  <si>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</si>
  <si>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</si>
  <si>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</si>
  <si>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</si>
  <si>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</si>
  <si>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</si>
  <si>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</si>
  <si>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</si>
  <si>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</si>
  <si>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</si>
  <si>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</si>
  <si>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</si>
  <si>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</si>
  <si>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</si>
  <si>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</si>
  <si>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</si>
  <si>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</si>
  <si>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</si>
  <si>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</si>
  <si>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</si>
  <si>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</si>
  <si>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</si>
  <si>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</si>
  <si>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</si>
  <si>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</si>
  <si>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</si>
  <si>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</si>
  <si>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</si>
  <si>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</si>
  <si>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</si>
  <si>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</si>
  <si>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</si>
  <si>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</si>
  <si>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</si>
  <si>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</si>
  <si>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</si>
  <si>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</si>
  <si>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</si>
  <si>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</si>
  <si>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</si>
  <si>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</si>
  <si>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</si>
  <si>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</si>
  <si>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</si>
  <si>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</si>
  <si>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</si>
  <si>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</si>
  <si>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</si>
  <si>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</si>
  <si>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</si>
  <si>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</si>
  <si>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</si>
  <si>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</si>
  <si>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</si>
  <si>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</si>
  <si>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</si>
  <si>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</si>
  <si>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</si>
  <si>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</si>
  <si>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</si>
  <si>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</si>
  <si>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</si>
  <si>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</si>
  <si>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</si>
  <si>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</si>
  <si>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</si>
  <si>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</si>
  <si>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</si>
  <si>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</si>
  <si>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</si>
  <si>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</si>
  <si>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</si>
  <si>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</si>
  <si>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</si>
  <si>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</si>
  <si>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</si>
  <si>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</si>
  <si>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</si>
  <si>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</si>
  <si>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</si>
  <si>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</si>
  <si>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</si>
  <si>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</si>
  <si>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</si>
  <si>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</si>
  <si>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</si>
  <si>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จันทบุรี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</si>
  <si>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</si>
  <si>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ฉะเชิงเทรา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</si>
  <si>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</si>
  <si>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ชลบุรี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</si>
  <si>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</si>
  <si>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ชัยนาท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</si>
  <si>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</si>
  <si>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ตราด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</si>
  <si>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</si>
  <si>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นครนายก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</si>
  <si>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</si>
  <si>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นครปฐม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</si>
  <si>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</si>
  <si>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ปทุมธานี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</si>
  <si>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</si>
  <si>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ประจวบคีรีขันธ์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</si>
  <si>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</si>
  <si>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ปราจีนบุรี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</si>
  <si>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</si>
  <si>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พระนครศรีอยุธยา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</si>
  <si>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</si>
  <si>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เพชรบุรี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</si>
  <si>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</si>
  <si>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ระยอง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</si>
  <si>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</si>
  <si>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ราชบุรี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</si>
  <si>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</si>
  <si>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ลพบุรี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</si>
  <si>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</si>
  <si>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สระแก้ว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</si>
  <si>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</si>
  <si>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สระบุรี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</si>
  <si>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</si>
  <si>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สิงห์บุรี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</si>
  <si>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</si>
  <si>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สุพรรณบุรี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</si>
  <si>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</si>
  <si>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อ่างทอง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</si>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</sst>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20">
    <font>
      <sz val="11.0"/>
      <color theme="1"/>
      <name val="Arial"/>
    </font>
    <font>
      <b/>
      <sz val="15.0"/>
      <color theme="1"/>
      <name val="Calibri"/>
    </font>
    <font>
      <sz val="15.0"/>
      <color theme="1"/>
      <name val="Calibri"/>
    </font>
    <font>
      <b/>
      <sz val="15.0"/>
      <color theme="0"/>
      <name val="Calibri"/>
    </font>
    <font/>
    <font>
      <b/>
      <sz val="15.0"/>
      <color rgb="FF00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rgb="FF00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rgb="FFFF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theme="0"/>
      <name val="Calibri"/>
    </font>
  </fonts>
  <fills count="32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hair">
        <color rgb="FF000000"/>
      </bottom>
    </border>
    <border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top style="hair">
        <color rgb="FF000000"/>
      </top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/>
      <right/>
      <top style="hair">
        <color rgb="FF000000"/>
      </top>
    </border>
    <border>
      <left/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/>
      <top style="medium">
        <color rgb="FF000000"/>
      </top>
      <bottom style="hair">
        <color rgb="FF000000"/>
      </bottom>
    </border>
    <border>
      <left/>
      <right/>
      <top style="medium">
        <color rgb="FF000000"/>
      </top>
      <bottom style="hair">
        <color rgb="FF000000"/>
      </bottom>
    </border>
    <border>
      <left/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/>
      <top/>
      <bottom style="hair">
        <color rgb="FF000000"/>
      </bottom>
    </border>
    <border>
      <left/>
      <right/>
      <top/>
      <bottom style="hair">
        <color rgb="FF000000"/>
      </bottom>
    </border>
    <border>
      <left/>
      <right style="thin">
        <color rgb="FF000000"/>
      </right>
      <top/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hair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/>
      <right/>
      <top style="hair">
        <color rgb="FF000000"/>
      </top>
      <bottom style="thin">
        <color rgb="FF000000"/>
      </bottom>
    </border>
    <border>
      <left/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hair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5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 readingOrder="0" vertical="center"/>
    </xf>
    <xf borderId="0" fillId="2" fontId="1" numFmtId="0" xfId="0" applyAlignment="1" applyFill="1" applyFont="1">
      <alignment horizontal="center" vertical="center"/>
    </xf>
    <xf borderId="0" fillId="2" fontId="2" numFmtId="164" xfId="0" applyAlignment="1" applyFont="1" applyNumberFormat="1">
      <alignment horizontal="center" shrinkToFit="0" vertical="center" wrapText="1"/>
    </xf>
    <xf borderId="0" fillId="2" fontId="2" numFmtId="165" xfId="0" applyAlignment="1" applyFont="1" applyNumberFormat="1">
      <alignment shrinkToFit="0" vertical="center" wrapText="1"/>
    </xf>
    <xf borderId="0" fillId="2" fontId="2" numFmtId="164" xfId="0" applyAlignment="1" applyFont="1" applyNumberFormat="1">
      <alignment shrinkToFit="0" vertical="center" wrapText="1"/>
    </xf>
    <xf borderId="1" fillId="3" fontId="3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3" fontId="3" numFmtId="0" xfId="0" applyAlignment="1" applyBorder="1" applyFont="1">
      <alignment horizontal="center" vertical="center"/>
    </xf>
    <xf borderId="5" fillId="4" fontId="1" numFmtId="0" xfId="0" applyAlignment="1" applyBorder="1" applyFill="1" applyFont="1">
      <alignment horizontal="center" readingOrder="0" vertical="center"/>
    </xf>
    <xf borderId="6" fillId="0" fontId="4" numFmtId="0" xfId="0" applyBorder="1" applyFont="1"/>
    <xf borderId="7" fillId="0" fontId="4" numFmtId="0" xfId="0" applyBorder="1" applyFont="1"/>
    <xf borderId="5" fillId="5" fontId="1" numFmtId="165" xfId="0" applyAlignment="1" applyBorder="1" applyFill="1" applyFont="1" applyNumberFormat="1">
      <alignment horizontal="center" readingOrder="0" shrinkToFit="0" vertical="center" wrapText="1"/>
    </xf>
    <xf borderId="5" fillId="6" fontId="1" numFmtId="165" xfId="0" applyAlignment="1" applyBorder="1" applyFill="1" applyFont="1" applyNumberFormat="1">
      <alignment horizontal="center" readingOrder="0" vertical="center"/>
    </xf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4" fontId="1" numFmtId="165" xfId="0" applyAlignment="1" applyBorder="1" applyFont="1" applyNumberFormat="1">
      <alignment horizontal="center" vertical="center"/>
    </xf>
    <xf borderId="12" fillId="4" fontId="1" numFmtId="164" xfId="0" applyAlignment="1" applyBorder="1" applyFont="1" applyNumberFormat="1">
      <alignment horizontal="center" shrinkToFit="0" vertical="center" wrapText="1"/>
    </xf>
    <xf borderId="12" fillId="5" fontId="1" numFmtId="165" xfId="0" applyAlignment="1" applyBorder="1" applyFont="1" applyNumberFormat="1">
      <alignment horizontal="center" readingOrder="0" shrinkToFit="0" vertical="center" wrapText="1"/>
    </xf>
    <xf borderId="12" fillId="7" fontId="1" numFmtId="165" xfId="0" applyAlignment="1" applyBorder="1" applyFill="1" applyFont="1" applyNumberFormat="1">
      <alignment horizontal="center" readingOrder="0" shrinkToFit="0" vertical="center" wrapText="1"/>
    </xf>
    <xf borderId="12" fillId="6" fontId="1" numFmtId="165" xfId="0" applyAlignment="1" applyBorder="1" applyFont="1" applyNumberFormat="1">
      <alignment horizontal="center" readingOrder="0" vertical="center"/>
    </xf>
    <xf borderId="12" fillId="5" fontId="1" numFmtId="165" xfId="0" applyAlignment="1" applyBorder="1" applyFont="1" applyNumberFormat="1">
      <alignment horizontal="center" readingOrder="0" vertical="center"/>
    </xf>
    <xf borderId="12" fillId="7" fontId="1" numFmtId="165" xfId="0" applyAlignment="1" applyBorder="1" applyFont="1" applyNumberFormat="1">
      <alignment horizontal="center" readingOrder="0" vertical="center"/>
    </xf>
    <xf borderId="5" fillId="8" fontId="5" numFmtId="0" xfId="0" applyAlignment="1" applyBorder="1" applyFill="1" applyFont="1">
      <alignment horizontal="left" readingOrder="0" shrinkToFit="0" wrapText="0"/>
    </xf>
    <xf borderId="12" fillId="8" fontId="5" numFmtId="0" xfId="0" applyAlignment="1" applyBorder="1" applyFont="1">
      <alignment shrinkToFit="0" wrapText="0"/>
    </xf>
    <xf borderId="12" fillId="8" fontId="5" numFmtId="166" xfId="0" applyAlignment="1" applyBorder="1" applyFont="1" applyNumberFormat="1">
      <alignment shrinkToFit="0" wrapText="0"/>
    </xf>
    <xf borderId="12" fillId="8" fontId="5" numFmtId="165" xfId="0" applyAlignment="1" applyBorder="1" applyFont="1" applyNumberFormat="1">
      <alignment shrinkToFit="0" wrapText="0"/>
    </xf>
    <xf borderId="12" fillId="8" fontId="5" numFmtId="165" xfId="0" applyAlignment="1" applyBorder="1" applyFont="1" applyNumberFormat="1">
      <alignment horizontal="center" readingOrder="0" shrinkToFit="0" wrapText="0"/>
    </xf>
    <xf borderId="12" fillId="8" fontId="5" numFmtId="165" xfId="0" applyAlignment="1" applyBorder="1" applyFont="1" applyNumberFormat="1">
      <alignment horizontal="right" readingOrder="0"/>
    </xf>
    <xf borderId="13" fillId="9" fontId="1" numFmtId="0" xfId="0" applyAlignment="1" applyBorder="1" applyFill="1" applyFont="1">
      <alignment shrinkToFit="0" wrapText="0"/>
    </xf>
    <xf borderId="14" fillId="9" fontId="1" numFmtId="0" xfId="0" applyAlignment="1" applyBorder="1" applyFont="1">
      <alignment shrinkToFit="0" wrapText="0"/>
    </xf>
    <xf borderId="14" fillId="9" fontId="1" numFmtId="0" xfId="0" applyAlignment="1" applyBorder="1" applyFont="1">
      <alignment horizontal="left" readingOrder="0" shrinkToFit="0" wrapText="0"/>
    </xf>
    <xf borderId="14" fillId="9" fontId="6" numFmtId="0" xfId="0" applyAlignment="1" applyBorder="1" applyFont="1">
      <alignment horizontal="left" readingOrder="0" shrinkToFit="0" wrapText="0"/>
    </xf>
    <xf borderId="14" fillId="0" fontId="4" numFmtId="0" xfId="0" applyBorder="1" applyFont="1"/>
    <xf borderId="15" fillId="9" fontId="1" numFmtId="0" xfId="0" applyAlignment="1" applyBorder="1" applyFont="1">
      <alignment horizontal="center" readingOrder="0"/>
    </xf>
    <xf borderId="16" fillId="9" fontId="1" numFmtId="166" xfId="0" applyAlignment="1" applyBorder="1" applyFont="1" applyNumberFormat="1">
      <alignment horizontal="right"/>
    </xf>
    <xf borderId="16" fillId="9" fontId="1" numFmtId="165" xfId="0" applyAlignment="1" applyBorder="1" applyFont="1" applyNumberFormat="1">
      <alignment horizontal="right"/>
    </xf>
    <xf borderId="16" fillId="9" fontId="1" numFmtId="165" xfId="0" applyAlignment="1" applyBorder="1" applyFont="1" applyNumberFormat="1">
      <alignment shrinkToFit="0" wrapText="0"/>
    </xf>
    <xf borderId="17" fillId="9" fontId="1" numFmtId="0" xfId="0" applyAlignment="1" applyBorder="1" applyFont="1">
      <alignment shrinkToFit="0" wrapText="0"/>
    </xf>
    <xf borderId="18" fillId="9" fontId="1" numFmtId="0" xfId="0" applyAlignment="1" applyBorder="1" applyFont="1">
      <alignment shrinkToFit="0" wrapText="0"/>
    </xf>
    <xf borderId="18" fillId="9" fontId="1" numFmtId="0" xfId="0" applyAlignment="1" applyBorder="1" applyFont="1">
      <alignment horizontal="left" readingOrder="0" shrinkToFit="0" wrapText="0"/>
    </xf>
    <xf borderId="19" fillId="9" fontId="1" numFmtId="0" xfId="0" applyAlignment="1" applyBorder="1" applyFont="1">
      <alignment horizontal="center" readingOrder="0"/>
    </xf>
    <xf borderId="20" fillId="9" fontId="1" numFmtId="166" xfId="0" applyAlignment="1" applyBorder="1" applyFont="1" applyNumberFormat="1">
      <alignment horizontal="right"/>
    </xf>
    <xf borderId="20" fillId="9" fontId="1" numFmtId="165" xfId="0" applyAlignment="1" applyBorder="1" applyFont="1" applyNumberFormat="1">
      <alignment horizontal="right"/>
    </xf>
    <xf borderId="20" fillId="9" fontId="1" numFmtId="165" xfId="0" applyAlignment="1" applyBorder="1" applyFont="1" applyNumberFormat="1">
      <alignment shrinkToFit="0" wrapText="0"/>
    </xf>
    <xf borderId="17" fillId="2" fontId="1" numFmtId="0" xfId="0" applyAlignment="1" applyBorder="1" applyFont="1">
      <alignment shrinkToFit="0" wrapText="0"/>
    </xf>
    <xf borderId="18" fillId="2" fontId="1" numFmtId="0" xfId="0" applyAlignment="1" applyBorder="1" applyFont="1">
      <alignment shrinkToFit="0" wrapText="0"/>
    </xf>
    <xf borderId="18" fillId="2" fontId="1" numFmtId="0" xfId="0" applyAlignment="1" applyBorder="1" applyFont="1">
      <alignment horizontal="left" readingOrder="0" shrinkToFit="0" wrapText="0"/>
    </xf>
    <xf borderId="18" fillId="2" fontId="7" numFmtId="0" xfId="0" applyAlignment="1" applyBorder="1" applyFont="1">
      <alignment horizontal="left" readingOrder="0" shrinkToFit="0" wrapText="0"/>
    </xf>
    <xf borderId="18" fillId="0" fontId="4" numFmtId="0" xfId="0" applyBorder="1" applyFont="1"/>
    <xf borderId="20" fillId="2" fontId="2" numFmtId="0" xfId="0" applyAlignment="1" applyBorder="1" applyFont="1">
      <alignment horizontal="left" readingOrder="0" shrinkToFit="0" wrapText="0"/>
    </xf>
    <xf borderId="20" fillId="2" fontId="2" numFmtId="0" xfId="0" applyAlignment="1" applyBorder="1" applyFont="1">
      <alignment horizontal="center" readingOrder="0"/>
    </xf>
    <xf borderId="20" fillId="2" fontId="2" numFmtId="166" xfId="0" applyAlignment="1" applyBorder="1" applyFont="1" applyNumberFormat="1">
      <alignment horizontal="right"/>
    </xf>
    <xf borderId="20" fillId="2" fontId="2" numFmtId="165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horizontal="left" readingOrder="0" shrinkToFit="0" wrapText="0"/>
    </xf>
    <xf borderId="18" fillId="2" fontId="2" numFmtId="0" xfId="0" applyAlignment="1" applyBorder="1" applyFont="1">
      <alignment shrinkToFit="0" wrapText="0"/>
    </xf>
    <xf borderId="18" fillId="2" fontId="2" numFmtId="0" xfId="0" applyAlignment="1" applyBorder="1" applyFont="1">
      <alignment horizontal="left" shrinkToFit="0" wrapText="0"/>
    </xf>
    <xf borderId="20" fillId="2" fontId="2" numFmtId="165" xfId="0" applyAlignment="1" applyBorder="1" applyFont="1" applyNumberFormat="1">
      <alignment horizontal="left" readingOrder="0" shrinkToFit="0" wrapText="0"/>
    </xf>
    <xf borderId="20" fillId="2" fontId="2" numFmtId="165" xfId="0" applyAlignment="1" applyBorder="1" applyFont="1" applyNumberFormat="1">
      <alignment shrinkToFit="0" wrapText="0"/>
    </xf>
    <xf borderId="21" fillId="2" fontId="1" numFmtId="0" xfId="0" applyAlignment="1" applyBorder="1" applyFont="1">
      <alignment shrinkToFit="0" wrapText="0"/>
    </xf>
    <xf borderId="22" fillId="2" fontId="1" numFmtId="0" xfId="0" applyAlignment="1" applyBorder="1" applyFont="1">
      <alignment shrinkToFit="0" wrapText="0"/>
    </xf>
    <xf borderId="22" fillId="2" fontId="2" numFmtId="0" xfId="0" applyAlignment="1" applyBorder="1" applyFont="1">
      <alignment shrinkToFit="0" wrapText="0"/>
    </xf>
    <xf borderId="23" fillId="2" fontId="2" numFmtId="0" xfId="0" applyAlignment="1" applyBorder="1" applyFont="1">
      <alignment horizontal="left" readingOrder="0" shrinkToFit="0" wrapText="0"/>
    </xf>
    <xf borderId="23" fillId="2" fontId="2" numFmtId="0" xfId="0" applyAlignment="1" applyBorder="1" applyFont="1">
      <alignment horizontal="center" readingOrder="0"/>
    </xf>
    <xf borderId="23" fillId="2" fontId="2" numFmtId="166" xfId="0" applyAlignment="1" applyBorder="1" applyFont="1" applyNumberFormat="1">
      <alignment horizontal="right"/>
    </xf>
    <xf borderId="23" fillId="2" fontId="2" numFmtId="165" xfId="0" applyAlignment="1" applyBorder="1" applyFont="1" applyNumberFormat="1">
      <alignment horizontal="right"/>
    </xf>
    <xf borderId="23" fillId="2" fontId="2" numFmtId="165" xfId="0" applyAlignment="1" applyBorder="1" applyFont="1" applyNumberFormat="1">
      <alignment shrinkToFit="0" wrapText="0"/>
    </xf>
    <xf borderId="20" fillId="2" fontId="2" numFmtId="165" xfId="0" applyAlignment="1" applyBorder="1" applyFont="1" applyNumberFormat="1">
      <alignment readingOrder="0" shrinkToFit="0" wrapText="0"/>
    </xf>
    <xf borderId="23" fillId="2" fontId="2" numFmtId="165" xfId="0" applyAlignment="1" applyBorder="1" applyFont="1" applyNumberFormat="1">
      <alignment readingOrder="0" shrinkToFit="0" wrapText="0"/>
    </xf>
    <xf borderId="12" fillId="10" fontId="1" numFmtId="0" xfId="0" applyAlignment="1" applyBorder="1" applyFill="1" applyFont="1">
      <alignment vertical="center"/>
    </xf>
    <xf borderId="12" fillId="10" fontId="1" numFmtId="166" xfId="0" applyAlignment="1" applyBorder="1" applyFont="1" applyNumberFormat="1">
      <alignment vertical="center"/>
    </xf>
    <xf borderId="12" fillId="10" fontId="1" numFmtId="165" xfId="0" applyAlignment="1" applyBorder="1" applyFont="1" applyNumberFormat="1">
      <alignment vertical="center"/>
    </xf>
    <xf borderId="12" fillId="10" fontId="1" numFmtId="165" xfId="0" applyAlignment="1" applyBorder="1" applyFont="1" applyNumberFormat="1">
      <alignment horizontal="right" shrinkToFit="0" vertical="center" wrapText="1"/>
    </xf>
    <xf borderId="5" fillId="11" fontId="5" numFmtId="0" xfId="0" applyAlignment="1" applyBorder="1" applyFill="1" applyFont="1">
      <alignment horizontal="left" readingOrder="0" shrinkToFit="0" wrapText="0"/>
    </xf>
    <xf borderId="12" fillId="11" fontId="8" numFmtId="0" xfId="0" applyAlignment="1" applyBorder="1" applyFont="1">
      <alignment horizontal="left" shrinkToFit="0" wrapText="0"/>
    </xf>
    <xf borderId="12" fillId="11" fontId="8" numFmtId="166" xfId="0" applyAlignment="1" applyBorder="1" applyFont="1" applyNumberFormat="1">
      <alignment horizontal="left" shrinkToFit="0" wrapText="0"/>
    </xf>
    <xf borderId="12" fillId="11" fontId="8" numFmtId="165" xfId="0" applyAlignment="1" applyBorder="1" applyFont="1" applyNumberFormat="1">
      <alignment horizontal="left" shrinkToFit="0" wrapText="0"/>
    </xf>
    <xf borderId="12" fillId="11" fontId="8" numFmtId="165" xfId="0" applyAlignment="1" applyBorder="1" applyFont="1" applyNumberFormat="1">
      <alignment shrinkToFit="0" wrapText="0"/>
    </xf>
    <xf borderId="13" fillId="12" fontId="5" numFmtId="0" xfId="0" applyAlignment="1" applyBorder="1" applyFill="1" applyFont="1">
      <alignment shrinkToFit="0" wrapText="0"/>
    </xf>
    <xf borderId="14" fillId="12" fontId="5" numFmtId="0" xfId="0" applyAlignment="1" applyBorder="1" applyFont="1">
      <alignment horizontal="left" readingOrder="0" shrinkToFit="0" wrapText="0"/>
    </xf>
    <xf borderId="15" fillId="12" fontId="5" numFmtId="0" xfId="0" applyAlignment="1" applyBorder="1" applyFont="1">
      <alignment horizontal="center"/>
    </xf>
    <xf borderId="16" fillId="12" fontId="5" numFmtId="166" xfId="0" applyAlignment="1" applyBorder="1" applyFont="1" applyNumberFormat="1">
      <alignment horizontal="right"/>
    </xf>
    <xf borderId="16" fillId="12" fontId="5" numFmtId="165" xfId="0" applyAlignment="1" applyBorder="1" applyFont="1" applyNumberFormat="1">
      <alignment horizontal="right"/>
    </xf>
    <xf borderId="16" fillId="12" fontId="5" numFmtId="165" xfId="0" applyAlignment="1" applyBorder="1" applyFont="1" applyNumberFormat="1">
      <alignment shrinkToFit="0" wrapText="0"/>
    </xf>
    <xf borderId="17" fillId="13" fontId="5" numFmtId="0" xfId="0" applyAlignment="1" applyBorder="1" applyFill="1" applyFont="1">
      <alignment shrinkToFit="0" wrapText="0"/>
    </xf>
    <xf borderId="18" fillId="13" fontId="5" numFmtId="0" xfId="0" applyAlignment="1" applyBorder="1" applyFont="1">
      <alignment horizontal="left" readingOrder="0" shrinkToFit="0" wrapText="0"/>
    </xf>
    <xf borderId="18" fillId="13" fontId="5" numFmtId="0" xfId="0" applyAlignment="1" applyBorder="1" applyFont="1">
      <alignment shrinkToFit="0" wrapText="0"/>
    </xf>
    <xf borderId="19" fillId="13" fontId="5" numFmtId="0" xfId="0" applyAlignment="1" applyBorder="1" applyFont="1">
      <alignment horizontal="center"/>
    </xf>
    <xf borderId="20" fillId="13" fontId="5" numFmtId="166" xfId="0" applyAlignment="1" applyBorder="1" applyFont="1" applyNumberFormat="1">
      <alignment horizontal="right"/>
    </xf>
    <xf borderId="20" fillId="13" fontId="5" numFmtId="165" xfId="0" applyAlignment="1" applyBorder="1" applyFont="1" applyNumberFormat="1">
      <alignment horizontal="right"/>
    </xf>
    <xf borderId="20" fillId="13" fontId="5" numFmtId="165" xfId="0" applyAlignment="1" applyBorder="1" applyFont="1" applyNumberFormat="1">
      <alignment shrinkToFit="0" wrapText="0"/>
    </xf>
    <xf borderId="17" fillId="14" fontId="1" numFmtId="0" xfId="0" applyAlignment="1" applyBorder="1" applyFill="1" applyFont="1">
      <alignment shrinkToFit="0" wrapText="0"/>
    </xf>
    <xf borderId="18" fillId="14" fontId="1" numFmtId="0" xfId="0" applyAlignment="1" applyBorder="1" applyFont="1">
      <alignment shrinkToFit="0" wrapText="0"/>
    </xf>
    <xf borderId="18" fillId="14" fontId="1" numFmtId="0" xfId="0" applyAlignment="1" applyBorder="1" applyFont="1">
      <alignment horizontal="left" readingOrder="0" shrinkToFit="0" wrapText="0"/>
    </xf>
    <xf borderId="18" fillId="14" fontId="9" numFmtId="0" xfId="0" applyAlignment="1" applyBorder="1" applyFont="1">
      <alignment horizontal="left" readingOrder="0" shrinkToFit="0" wrapText="0"/>
    </xf>
    <xf borderId="19" fillId="14" fontId="1" numFmtId="0" xfId="0" applyAlignment="1" applyBorder="1" applyFont="1">
      <alignment horizontal="center" readingOrder="0"/>
    </xf>
    <xf borderId="20" fillId="14" fontId="1" numFmtId="166" xfId="0" applyAlignment="1" applyBorder="1" applyFont="1" applyNumberFormat="1">
      <alignment horizontal="right"/>
    </xf>
    <xf borderId="20" fillId="14" fontId="1" numFmtId="165" xfId="0" applyAlignment="1" applyBorder="1" applyFont="1" applyNumberFormat="1">
      <alignment horizontal="right"/>
    </xf>
    <xf borderId="20" fillId="14" fontId="1" numFmtId="165" xfId="0" applyAlignment="1" applyBorder="1" applyFont="1" applyNumberFormat="1">
      <alignment shrinkToFit="0" wrapText="0"/>
    </xf>
    <xf borderId="17" fillId="15" fontId="1" numFmtId="0" xfId="0" applyAlignment="1" applyBorder="1" applyFill="1" applyFont="1">
      <alignment shrinkToFit="0" wrapText="0"/>
    </xf>
    <xf borderId="18" fillId="15" fontId="1" numFmtId="0" xfId="0" applyAlignment="1" applyBorder="1" applyFont="1">
      <alignment shrinkToFit="0" wrapText="0"/>
    </xf>
    <xf borderId="18" fillId="15" fontId="1" numFmtId="0" xfId="0" applyAlignment="1" applyBorder="1" applyFont="1">
      <alignment horizontal="left" readingOrder="0" shrinkToFit="0" wrapText="0"/>
    </xf>
    <xf borderId="18" fillId="15" fontId="10" numFmtId="0" xfId="0" applyAlignment="1" applyBorder="1" applyFont="1">
      <alignment horizontal="left" readingOrder="0" shrinkToFit="0" wrapText="0"/>
    </xf>
    <xf borderId="20" fillId="15" fontId="2" numFmtId="0" xfId="0" applyAlignment="1" applyBorder="1" applyFont="1">
      <alignment horizontal="left" readingOrder="0" shrinkToFit="0" wrapText="0"/>
    </xf>
    <xf borderId="20" fillId="0" fontId="2" numFmtId="0" xfId="0" applyAlignment="1" applyBorder="1" applyFont="1">
      <alignment horizontal="center" readingOrder="0"/>
    </xf>
    <xf borderId="20" fillId="0" fontId="2" numFmtId="166" xfId="0" applyAlignment="1" applyBorder="1" applyFont="1" applyNumberFormat="1">
      <alignment horizontal="right"/>
    </xf>
    <xf borderId="20" fillId="0" fontId="2" numFmtId="165" xfId="0" applyAlignment="1" applyBorder="1" applyFont="1" applyNumberFormat="1">
      <alignment horizontal="right"/>
    </xf>
    <xf borderId="20" fillId="15" fontId="1" numFmtId="165" xfId="0" applyAlignment="1" applyBorder="1" applyFont="1" applyNumberFormat="1">
      <alignment shrinkToFit="0" wrapText="0"/>
    </xf>
    <xf borderId="20" fillId="15" fontId="1" numFmtId="165" xfId="0" applyAlignment="1" applyBorder="1" applyFont="1" applyNumberFormat="1">
      <alignment horizontal="left" readingOrder="0" shrinkToFit="0" wrapText="0"/>
    </xf>
    <xf borderId="18" fillId="15" fontId="2" numFmtId="0" xfId="0" applyAlignment="1" applyBorder="1" applyFont="1">
      <alignment shrinkToFit="0" wrapText="0"/>
    </xf>
    <xf borderId="18" fillId="15" fontId="2" numFmtId="0" xfId="0" applyAlignment="1" applyBorder="1" applyFont="1">
      <alignment horizontal="left" shrinkToFit="0" wrapText="0"/>
    </xf>
    <xf borderId="23" fillId="10" fontId="11" numFmtId="165" xfId="0" applyAlignment="1" applyBorder="1" applyFont="1" applyNumberFormat="1">
      <alignment shrinkToFit="0" wrapText="0"/>
    </xf>
    <xf borderId="20" fillId="15" fontId="2" numFmtId="165" xfId="0" applyAlignment="1" applyBorder="1" applyFont="1" applyNumberFormat="1">
      <alignment horizontal="left" readingOrder="0" shrinkToFit="0" wrapText="0"/>
    </xf>
    <xf borderId="20" fillId="15" fontId="2" numFmtId="165" xfId="0" applyAlignment="1" applyBorder="1" applyFont="1" applyNumberFormat="1">
      <alignment shrinkToFit="0" wrapText="0"/>
    </xf>
    <xf borderId="21" fillId="15" fontId="1" numFmtId="0" xfId="0" applyAlignment="1" applyBorder="1" applyFont="1">
      <alignment shrinkToFit="0" wrapText="0"/>
    </xf>
    <xf borderId="22" fillId="15" fontId="1" numFmtId="0" xfId="0" applyAlignment="1" applyBorder="1" applyFont="1">
      <alignment shrinkToFit="0" wrapText="0"/>
    </xf>
    <xf borderId="22" fillId="15" fontId="2" numFmtId="0" xfId="0" applyAlignment="1" applyBorder="1" applyFont="1">
      <alignment shrinkToFit="0" wrapText="0"/>
    </xf>
    <xf borderId="23" fillId="15" fontId="2" numFmtId="0" xfId="0" applyAlignment="1" applyBorder="1" applyFont="1">
      <alignment horizontal="left" readingOrder="0" shrinkToFit="0" wrapText="0"/>
    </xf>
    <xf borderId="23" fillId="0" fontId="2" numFmtId="0" xfId="0" applyAlignment="1" applyBorder="1" applyFont="1">
      <alignment horizontal="center" readingOrder="0"/>
    </xf>
    <xf borderId="23" fillId="0" fontId="2" numFmtId="166" xfId="0" applyAlignment="1" applyBorder="1" applyFont="1" applyNumberFormat="1">
      <alignment horizontal="right"/>
    </xf>
    <xf borderId="23" fillId="0" fontId="2" numFmtId="165" xfId="0" applyAlignment="1" applyBorder="1" applyFont="1" applyNumberFormat="1">
      <alignment horizontal="right"/>
    </xf>
    <xf borderId="23" fillId="15" fontId="2" numFmtId="165" xfId="0" applyAlignment="1" applyBorder="1" applyFont="1" applyNumberFormat="1">
      <alignment shrinkToFit="0" wrapText="0"/>
    </xf>
    <xf borderId="12" fillId="16" fontId="1" numFmtId="0" xfId="0" applyAlignment="1" applyBorder="1" applyFill="1" applyFont="1">
      <alignment readingOrder="0" shrinkToFit="0" wrapText="0"/>
    </xf>
    <xf borderId="12" fillId="16" fontId="1" numFmtId="0" xfId="0" applyAlignment="1" applyBorder="1" applyFont="1">
      <alignment horizontal="left" readingOrder="0" shrinkToFit="0" wrapText="0"/>
    </xf>
    <xf borderId="12" fillId="16" fontId="1" numFmtId="0" xfId="0" applyAlignment="1" applyBorder="1" applyFont="1">
      <alignment horizontal="center"/>
    </xf>
    <xf borderId="12" fillId="16" fontId="1" numFmtId="166" xfId="0" applyAlignment="1" applyBorder="1" applyFont="1" applyNumberFormat="1">
      <alignment horizontal="right"/>
    </xf>
    <xf borderId="12" fillId="16" fontId="1" numFmtId="165" xfId="0" applyAlignment="1" applyBorder="1" applyFont="1" applyNumberFormat="1">
      <alignment horizontal="right"/>
    </xf>
    <xf borderId="12" fillId="16" fontId="1" numFmtId="165" xfId="0" applyAlignment="1" applyBorder="1" applyFont="1" applyNumberFormat="1">
      <alignment shrinkToFit="0" wrapText="0"/>
    </xf>
    <xf borderId="13" fillId="17" fontId="1" numFmtId="0" xfId="0" applyAlignment="1" applyBorder="1" applyFill="1" applyFont="1">
      <alignment shrinkToFit="0" wrapText="0"/>
    </xf>
    <xf borderId="14" fillId="17" fontId="1" numFmtId="0" xfId="0" applyAlignment="1" applyBorder="1" applyFont="1">
      <alignment horizontal="left" readingOrder="0" shrinkToFit="0" wrapText="0"/>
    </xf>
    <xf borderId="15" fillId="17" fontId="1" numFmtId="0" xfId="0" applyAlignment="1" applyBorder="1" applyFont="1">
      <alignment horizontal="center"/>
    </xf>
    <xf borderId="16" fillId="17" fontId="1" numFmtId="166" xfId="0" applyAlignment="1" applyBorder="1" applyFont="1" applyNumberFormat="1">
      <alignment horizontal="right"/>
    </xf>
    <xf borderId="16" fillId="17" fontId="1" numFmtId="165" xfId="0" applyAlignment="1" applyBorder="1" applyFont="1" applyNumberFormat="1">
      <alignment horizontal="right"/>
    </xf>
    <xf borderId="16" fillId="17" fontId="1" numFmtId="165" xfId="0" applyAlignment="1" applyBorder="1" applyFont="1" applyNumberFormat="1">
      <alignment shrinkToFit="0" wrapText="0"/>
    </xf>
    <xf borderId="17" fillId="18" fontId="1" numFmtId="0" xfId="0" applyAlignment="1" applyBorder="1" applyFill="1" applyFont="1">
      <alignment shrinkToFit="0" wrapText="0"/>
    </xf>
    <xf borderId="18" fillId="18" fontId="1" numFmtId="0" xfId="0" applyAlignment="1" applyBorder="1" applyFont="1">
      <alignment horizontal="left" readingOrder="0" shrinkToFit="0" wrapText="0"/>
    </xf>
    <xf borderId="19" fillId="18" fontId="1" numFmtId="0" xfId="0" applyAlignment="1" applyBorder="1" applyFont="1">
      <alignment horizontal="center"/>
    </xf>
    <xf borderId="20" fillId="18" fontId="1" numFmtId="166" xfId="0" applyAlignment="1" applyBorder="1" applyFont="1" applyNumberFormat="1">
      <alignment horizontal="right"/>
    </xf>
    <xf borderId="20" fillId="18" fontId="1" numFmtId="165" xfId="0" applyAlignment="1" applyBorder="1" applyFont="1" applyNumberFormat="1">
      <alignment horizontal="right"/>
    </xf>
    <xf borderId="20" fillId="18" fontId="1" numFmtId="165" xfId="0" applyAlignment="1" applyBorder="1" applyFont="1" applyNumberFormat="1">
      <alignment shrinkToFit="0" wrapText="0"/>
    </xf>
    <xf borderId="17" fillId="19" fontId="1" numFmtId="0" xfId="0" applyAlignment="1" applyBorder="1" applyFill="1" applyFont="1">
      <alignment shrinkToFit="0" wrapText="0"/>
    </xf>
    <xf borderId="18" fillId="19" fontId="1" numFmtId="0" xfId="0" applyAlignment="1" applyBorder="1" applyFont="1">
      <alignment shrinkToFit="0" wrapText="0"/>
    </xf>
    <xf borderId="18" fillId="19" fontId="1" numFmtId="0" xfId="0" applyAlignment="1" applyBorder="1" applyFont="1">
      <alignment horizontal="left" readingOrder="0" shrinkToFit="0" wrapText="0"/>
    </xf>
    <xf borderId="18" fillId="19" fontId="12" numFmtId="0" xfId="0" applyAlignment="1" applyBorder="1" applyFont="1">
      <alignment horizontal="left" readingOrder="0" shrinkToFit="0" wrapText="0"/>
    </xf>
    <xf borderId="19" fillId="19" fontId="1" numFmtId="0" xfId="0" applyAlignment="1" applyBorder="1" applyFont="1">
      <alignment horizontal="center" readingOrder="0"/>
    </xf>
    <xf borderId="20" fillId="19" fontId="1" numFmtId="166" xfId="0" applyAlignment="1" applyBorder="1" applyFont="1" applyNumberFormat="1">
      <alignment horizontal="right"/>
    </xf>
    <xf borderId="20" fillId="19" fontId="1" numFmtId="165" xfId="0" applyAlignment="1" applyBorder="1" applyFont="1" applyNumberFormat="1">
      <alignment horizontal="right"/>
    </xf>
    <xf borderId="20" fillId="19" fontId="1" numFmtId="165" xfId="0" applyAlignment="1" applyBorder="1" applyFont="1" applyNumberFormat="1">
      <alignment shrinkToFit="0" wrapText="0"/>
    </xf>
    <xf borderId="24" fillId="20" fontId="1" numFmtId="164" xfId="0" applyAlignment="1" applyBorder="1" applyFill="1" applyFont="1" applyNumberFormat="1">
      <alignment vertical="center"/>
    </xf>
    <xf borderId="25" fillId="20" fontId="1" numFmtId="164" xfId="0" applyAlignment="1" applyBorder="1" applyFont="1" applyNumberFormat="1">
      <alignment vertical="center"/>
    </xf>
    <xf borderId="26" fillId="20" fontId="2" numFmtId="0" xfId="0" applyAlignment="1" applyBorder="1" applyFont="1">
      <alignment vertical="center"/>
    </xf>
    <xf borderId="27" fillId="20" fontId="2" numFmtId="0" xfId="0" applyAlignment="1" applyBorder="1" applyFont="1">
      <alignment horizontal="left" vertical="center"/>
    </xf>
    <xf borderId="27" fillId="20" fontId="2" numFmtId="166" xfId="0" applyAlignment="1" applyBorder="1" applyFont="1" applyNumberFormat="1">
      <alignment horizontal="left" vertical="center"/>
    </xf>
    <xf borderId="27" fillId="20" fontId="2" numFmtId="165" xfId="0" applyAlignment="1" applyBorder="1" applyFont="1" applyNumberFormat="1">
      <alignment horizontal="left" vertical="center"/>
    </xf>
    <xf borderId="27" fillId="20" fontId="2" numFmtId="165" xfId="0" applyAlignment="1" applyBorder="1" applyFont="1" applyNumberFormat="1">
      <alignment vertical="center"/>
    </xf>
    <xf borderId="24" fillId="21" fontId="1" numFmtId="164" xfId="0" applyAlignment="1" applyBorder="1" applyFill="1" applyFont="1" applyNumberFormat="1">
      <alignment vertical="center"/>
    </xf>
    <xf borderId="25" fillId="21" fontId="1" numFmtId="0" xfId="0" applyAlignment="1" applyBorder="1" applyFont="1">
      <alignment vertical="center"/>
    </xf>
    <xf borderId="25" fillId="21" fontId="1" numFmtId="164" xfId="0" applyAlignment="1" applyBorder="1" applyFont="1" applyNumberFormat="1">
      <alignment vertical="center"/>
    </xf>
    <xf borderId="26" fillId="21" fontId="1" numFmtId="0" xfId="0" applyAlignment="1" applyBorder="1" applyFont="1">
      <alignment vertical="center"/>
    </xf>
    <xf borderId="28" fillId="21" fontId="1" numFmtId="0" xfId="0" applyAlignment="1" applyBorder="1" applyFont="1">
      <alignment horizontal="left" vertical="center"/>
    </xf>
    <xf borderId="28" fillId="21" fontId="1" numFmtId="166" xfId="0" applyAlignment="1" applyBorder="1" applyFont="1" applyNumberFormat="1">
      <alignment horizontal="left" vertical="center"/>
    </xf>
    <xf borderId="28" fillId="21" fontId="1" numFmtId="165" xfId="0" applyAlignment="1" applyBorder="1" applyFont="1" applyNumberFormat="1">
      <alignment horizontal="left" vertical="center"/>
    </xf>
    <xf borderId="28" fillId="21" fontId="1" numFmtId="165" xfId="0" applyAlignment="1" applyBorder="1" applyFont="1" applyNumberFormat="1">
      <alignment horizontal="center" vertical="center"/>
    </xf>
    <xf borderId="28" fillId="21" fontId="2" numFmtId="165" xfId="0" applyAlignment="1" applyBorder="1" applyFont="1" applyNumberFormat="1">
      <alignment vertical="center"/>
    </xf>
    <xf borderId="29" fillId="9" fontId="1" numFmtId="167" xfId="0" applyAlignment="1" applyBorder="1" applyFont="1" applyNumberFormat="1">
      <alignment vertical="center"/>
    </xf>
    <xf borderId="30" fillId="9" fontId="1" numFmtId="0" xfId="0" applyAlignment="1" applyBorder="1" applyFont="1">
      <alignment vertical="center"/>
    </xf>
    <xf borderId="30" fillId="9" fontId="1" numFmtId="164" xfId="0" applyAlignment="1" applyBorder="1" applyFont="1" applyNumberFormat="1">
      <alignment vertical="center"/>
    </xf>
    <xf borderId="19" fillId="9" fontId="1" numFmtId="0" xfId="0" applyAlignment="1" applyBorder="1" applyFont="1">
      <alignment horizontal="center" shrinkToFit="0" vertical="center" wrapText="1"/>
    </xf>
    <xf borderId="19" fillId="9" fontId="1" numFmtId="166" xfId="0" applyAlignment="1" applyBorder="1" applyFont="1" applyNumberFormat="1">
      <alignment horizontal="right" shrinkToFit="0" vertical="center" wrapText="1"/>
    </xf>
    <xf borderId="19" fillId="9" fontId="1" numFmtId="165" xfId="0" applyAlignment="1" applyBorder="1" applyFont="1" applyNumberFormat="1">
      <alignment horizontal="right" shrinkToFit="0" vertical="center" wrapText="1"/>
    </xf>
    <xf borderId="19" fillId="9" fontId="1" numFmtId="165" xfId="0" applyAlignment="1" applyBorder="1" applyFont="1" applyNumberFormat="1">
      <alignment readingOrder="0" vertical="center"/>
    </xf>
    <xf borderId="19" fillId="9" fontId="1" numFmtId="165" xfId="0" applyAlignment="1" applyBorder="1" applyFont="1" applyNumberFormat="1">
      <alignment vertical="center"/>
    </xf>
    <xf borderId="13" fillId="2" fontId="1" numFmtId="167" xfId="0" applyAlignment="1" applyBorder="1" applyFont="1" applyNumberFormat="1">
      <alignment shrinkToFit="0" wrapText="0"/>
    </xf>
    <xf borderId="14" fillId="2" fontId="1" numFmtId="0" xfId="0" applyAlignment="1" applyBorder="1" applyFont="1">
      <alignment shrinkToFit="0" wrapText="0"/>
    </xf>
    <xf borderId="14" fillId="2" fontId="1" numFmtId="0" xfId="0" applyAlignment="1" applyBorder="1" applyFont="1">
      <alignment horizontal="left" readingOrder="0" shrinkToFit="0" wrapText="0"/>
    </xf>
    <xf borderId="14" fillId="2" fontId="13" numFmtId="0" xfId="0" applyAlignment="1" applyBorder="1" applyFont="1">
      <alignment horizontal="left" readingOrder="0" shrinkToFit="0" wrapText="0"/>
    </xf>
    <xf borderId="15" fillId="2" fontId="1" numFmtId="164" xfId="0" applyAlignment="1" applyBorder="1" applyFont="1" applyNumberFormat="1">
      <alignment horizontal="center" readingOrder="0"/>
    </xf>
    <xf borderId="16" fillId="2" fontId="1" numFmtId="166" xfId="0" applyAlignment="1" applyBorder="1" applyFont="1" applyNumberFormat="1">
      <alignment horizontal="right"/>
    </xf>
    <xf borderId="16" fillId="2" fontId="1" numFmtId="165" xfId="0" applyAlignment="1" applyBorder="1" applyFont="1" applyNumberFormat="1">
      <alignment horizontal="right"/>
    </xf>
    <xf borderId="16" fillId="2" fontId="1" numFmtId="165" xfId="0" applyAlignment="1" applyBorder="1" applyFont="1" applyNumberFormat="1">
      <alignment shrinkToFit="0" wrapText="0"/>
    </xf>
    <xf borderId="17" fillId="2" fontId="1" numFmtId="167" xfId="0" applyAlignment="1" applyBorder="1" applyFont="1" applyNumberFormat="1">
      <alignment shrinkToFit="0" wrapText="0"/>
    </xf>
    <xf borderId="19" fillId="2" fontId="1" numFmtId="164" xfId="0" applyAlignment="1" applyBorder="1" applyFont="1" applyNumberFormat="1">
      <alignment horizontal="center" readingOrder="0"/>
    </xf>
    <xf borderId="20" fillId="2" fontId="1" numFmtId="166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shrinkToFit="0" wrapText="0"/>
    </xf>
    <xf borderId="29" fillId="2" fontId="1" numFmtId="167" xfId="0" applyAlignment="1" applyBorder="1" applyFont="1" applyNumberFormat="1">
      <alignment vertical="center"/>
    </xf>
    <xf borderId="30" fillId="2" fontId="1" numFmtId="0" xfId="0" applyAlignment="1" applyBorder="1" applyFont="1">
      <alignment vertical="center"/>
    </xf>
    <xf quotePrefix="1" borderId="30" fillId="2" fontId="14" numFmtId="0" xfId="0" applyAlignment="1" applyBorder="1" applyFont="1">
      <alignment vertical="center"/>
    </xf>
    <xf borderId="30" fillId="2" fontId="2" numFmtId="0" xfId="0" applyAlignment="1" applyBorder="1" applyFont="1">
      <alignment vertical="center"/>
    </xf>
    <xf borderId="31" fillId="2" fontId="2" numFmtId="0" xfId="0" applyAlignment="1" applyBorder="1" applyFont="1">
      <alignment vertical="center"/>
    </xf>
    <xf borderId="19" fillId="0" fontId="2" numFmtId="164" xfId="0" applyAlignment="1" applyBorder="1" applyFont="1" applyNumberFormat="1">
      <alignment horizontal="center" shrinkToFit="0" vertical="center" wrapText="1"/>
    </xf>
    <xf borderId="19" fillId="0" fontId="2" numFmtId="166" xfId="0" applyAlignment="1" applyBorder="1" applyFont="1" applyNumberFormat="1">
      <alignment horizontal="right" shrinkToFit="0" vertical="center" wrapText="1"/>
    </xf>
    <xf borderId="19" fillId="0" fontId="2" numFmtId="165" xfId="0" applyAlignment="1" applyBorder="1" applyFont="1" applyNumberFormat="1">
      <alignment horizontal="right" shrinkToFit="0" vertical="center" wrapText="1"/>
    </xf>
    <xf borderId="19" fillId="2" fontId="1" numFmtId="165" xfId="0" applyAlignment="1" applyBorder="1" applyFont="1" applyNumberFormat="1">
      <alignment readingOrder="0" vertical="center"/>
    </xf>
    <xf borderId="19" fillId="2" fontId="1" numFmtId="165" xfId="0" applyAlignment="1" applyBorder="1" applyFont="1" applyNumberFormat="1">
      <alignment vertical="center"/>
    </xf>
    <xf borderId="30" fillId="2" fontId="1" numFmtId="164" xfId="0" applyAlignment="1" applyBorder="1" applyFont="1" applyNumberFormat="1">
      <alignment vertical="center"/>
    </xf>
    <xf borderId="19" fillId="2" fontId="2" numFmtId="165" xfId="0" applyAlignment="1" applyBorder="1" applyFont="1" applyNumberFormat="1">
      <alignment readingOrder="0" vertical="center"/>
    </xf>
    <xf borderId="19" fillId="10" fontId="11" numFmtId="165" xfId="0" applyAlignment="1" applyBorder="1" applyFont="1" applyNumberFormat="1">
      <alignment readingOrder="0" vertical="center"/>
    </xf>
    <xf borderId="19" fillId="10" fontId="11" numFmtId="165" xfId="0" applyAlignment="1" applyBorder="1" applyFont="1" applyNumberFormat="1">
      <alignment vertical="center"/>
    </xf>
    <xf borderId="19" fillId="2" fontId="2" numFmtId="165" xfId="0" applyAlignment="1" applyBorder="1" applyFont="1" applyNumberFormat="1">
      <alignment vertical="center"/>
    </xf>
    <xf borderId="31" fillId="2" fontId="2" numFmtId="0" xfId="0" applyAlignment="1" applyBorder="1" applyFont="1">
      <alignment horizontal="left" vertical="center"/>
    </xf>
    <xf borderId="17" fillId="15" fontId="1" numFmtId="167" xfId="0" applyAlignment="1" applyBorder="1" applyFont="1" applyNumberFormat="1">
      <alignment shrinkToFit="0" wrapText="0"/>
    </xf>
    <xf borderId="20" fillId="0" fontId="2" numFmtId="164" xfId="0" applyAlignment="1" applyBorder="1" applyFont="1" applyNumberFormat="1">
      <alignment horizontal="center" readingOrder="0"/>
    </xf>
    <xf borderId="21" fillId="15" fontId="1" numFmtId="167" xfId="0" applyAlignment="1" applyBorder="1" applyFont="1" applyNumberFormat="1">
      <alignment shrinkToFit="0" wrapText="0"/>
    </xf>
    <xf borderId="22" fillId="15" fontId="1" numFmtId="164" xfId="0" applyAlignment="1" applyBorder="1" applyFont="1" applyNumberFormat="1">
      <alignment shrinkToFit="0" wrapText="0"/>
    </xf>
    <xf borderId="23" fillId="0" fontId="2" numFmtId="164" xfId="0" applyAlignment="1" applyBorder="1" applyFont="1" applyNumberFormat="1">
      <alignment horizontal="center" readingOrder="0"/>
    </xf>
    <xf borderId="17" fillId="0" fontId="1" numFmtId="164" xfId="0" applyAlignment="1" applyBorder="1" applyFont="1" applyNumberFormat="1">
      <alignment vertical="center"/>
    </xf>
    <xf borderId="18" fillId="0" fontId="1" numFmtId="164" xfId="0" applyAlignment="1" applyBorder="1" applyFont="1" applyNumberFormat="1">
      <alignment vertical="center"/>
    </xf>
    <xf quotePrefix="1" borderId="30" fillId="22" fontId="15" numFmtId="0" xfId="0" applyAlignment="1" applyBorder="1" applyFill="1" applyFont="1">
      <alignment vertical="center"/>
    </xf>
    <xf borderId="30" fillId="22" fontId="2" numFmtId="0" xfId="0" applyAlignment="1" applyBorder="1" applyFont="1">
      <alignment vertical="center"/>
    </xf>
    <xf borderId="31" fillId="22" fontId="2" numFmtId="0" xfId="0" applyAlignment="1" applyBorder="1" applyFont="1">
      <alignment vertical="center"/>
    </xf>
    <xf borderId="19" fillId="0" fontId="2" numFmtId="0" xfId="0" applyAlignment="1" applyBorder="1" applyFont="1">
      <alignment horizontal="center" shrinkToFit="0" vertical="center" wrapText="1"/>
    </xf>
    <xf borderId="19" fillId="0" fontId="2" numFmtId="165" xfId="0" applyAlignment="1" applyBorder="1" applyFont="1" applyNumberFormat="1">
      <alignment vertical="center"/>
    </xf>
    <xf borderId="30" fillId="23" fontId="2" numFmtId="0" xfId="0" applyAlignment="1" applyBorder="1" applyFill="1" applyFont="1">
      <alignment horizontal="right" vertical="center"/>
    </xf>
    <xf quotePrefix="1" borderId="30" fillId="23" fontId="2" numFmtId="0" xfId="0" applyAlignment="1" applyBorder="1" applyFont="1">
      <alignment vertical="center"/>
    </xf>
    <xf borderId="30" fillId="23" fontId="2" numFmtId="0" xfId="0" applyAlignment="1" applyBorder="1" applyFont="1">
      <alignment vertical="center"/>
    </xf>
    <xf borderId="31" fillId="23" fontId="2" numFmtId="0" xfId="0" applyAlignment="1" applyBorder="1" applyFont="1">
      <alignment vertical="center"/>
    </xf>
    <xf borderId="19" fillId="2" fontId="2" numFmtId="0" xfId="0" applyAlignment="1" applyBorder="1" applyFont="1">
      <alignment horizontal="center" shrinkToFit="0" vertical="center" wrapText="1"/>
    </xf>
    <xf borderId="19" fillId="2" fontId="2" numFmtId="166" xfId="0" applyAlignment="1" applyBorder="1" applyFont="1" applyNumberFormat="1">
      <alignment horizontal="right" shrinkToFit="0" vertical="center" wrapText="1"/>
    </xf>
    <xf borderId="19" fillId="4" fontId="2" numFmtId="166" xfId="0" applyAlignment="1" applyBorder="1" applyFont="1" applyNumberFormat="1">
      <alignment horizontal="right" readingOrder="0" shrinkToFit="0" vertical="center" wrapText="1"/>
    </xf>
    <xf borderId="30" fillId="10" fontId="2" numFmtId="0" xfId="0" applyAlignment="1" applyBorder="1" applyFont="1">
      <alignment horizontal="right" vertical="center"/>
    </xf>
    <xf quotePrefix="1" borderId="30" fillId="10" fontId="2" numFmtId="0" xfId="0" applyAlignment="1" applyBorder="1" applyFont="1">
      <alignment vertical="center"/>
    </xf>
    <xf borderId="30" fillId="10" fontId="2" numFmtId="0" xfId="0" applyAlignment="1" applyBorder="1" applyFont="1">
      <alignment vertical="center"/>
    </xf>
    <xf borderId="31" fillId="10" fontId="2" numFmtId="0" xfId="0" applyAlignment="1" applyBorder="1" applyFont="1">
      <alignment vertical="center"/>
    </xf>
    <xf borderId="18" fillId="0" fontId="1" numFmtId="164" xfId="0" applyAlignment="1" applyBorder="1" applyFont="1" applyNumberFormat="1">
      <alignment horizontal="left" vertical="center"/>
    </xf>
    <xf quotePrefix="1" borderId="18" fillId="0" fontId="2" numFmtId="0" xfId="0" applyAlignment="1" applyBorder="1" applyFont="1">
      <alignment vertical="center"/>
    </xf>
    <xf borderId="18" fillId="0" fontId="2" numFmtId="0" xfId="0" applyAlignment="1" applyBorder="1" applyFont="1">
      <alignment vertical="center"/>
    </xf>
    <xf borderId="20" fillId="0" fontId="2" numFmtId="0" xfId="0" applyAlignment="1" applyBorder="1" applyFont="1">
      <alignment vertical="center"/>
    </xf>
    <xf borderId="19" fillId="4" fontId="2" numFmtId="166" xfId="0" applyAlignment="1" applyBorder="1" applyFont="1" applyNumberFormat="1">
      <alignment horizontal="right" shrinkToFit="0" vertical="center" wrapText="1"/>
    </xf>
    <xf borderId="18" fillId="0" fontId="2" numFmtId="0" xfId="0" applyAlignment="1" applyBorder="1" applyFont="1">
      <alignment horizontal="right" vertical="center"/>
    </xf>
    <xf borderId="19" fillId="0" fontId="1" numFmtId="0" xfId="0" applyAlignment="1" applyBorder="1" applyFont="1">
      <alignment horizontal="center" shrinkToFit="0" vertical="center" wrapText="1"/>
    </xf>
    <xf borderId="19" fillId="2" fontId="1" numFmtId="166" xfId="0" applyAlignment="1" applyBorder="1" applyFont="1" applyNumberFormat="1">
      <alignment horizontal="right" shrinkToFit="0" vertical="center" wrapText="1"/>
    </xf>
    <xf borderId="19" fillId="0" fontId="1" numFmtId="165" xfId="0" applyAlignment="1" applyBorder="1" applyFont="1" applyNumberFormat="1">
      <alignment horizontal="right" shrinkToFit="0" vertical="center" wrapText="1"/>
    </xf>
    <xf borderId="19" fillId="0" fontId="2" numFmtId="166" xfId="0" applyAlignment="1" applyBorder="1" applyFont="1" applyNumberFormat="1">
      <alignment horizontal="right" readingOrder="0" shrinkToFit="0" vertical="center" wrapText="1"/>
    </xf>
    <xf borderId="19" fillId="2" fontId="2" numFmtId="166" xfId="0" applyAlignment="1" applyBorder="1" applyFont="1" applyNumberFormat="1">
      <alignment horizontal="right" readingOrder="0" shrinkToFit="0" vertical="center" wrapText="1"/>
    </xf>
    <xf quotePrefix="1" borderId="18" fillId="0" fontId="2" numFmtId="0" xfId="0" applyAlignment="1" applyBorder="1" applyFont="1">
      <alignment readingOrder="0" vertical="center"/>
    </xf>
    <xf borderId="30" fillId="7" fontId="2" numFmtId="0" xfId="0" applyAlignment="1" applyBorder="1" applyFont="1">
      <alignment horizontal="right" vertical="center"/>
    </xf>
    <xf quotePrefix="1" borderId="30" fillId="7" fontId="2" numFmtId="0" xfId="0" applyAlignment="1" applyBorder="1" applyFont="1">
      <alignment vertical="center"/>
    </xf>
    <xf borderId="30" fillId="7" fontId="2" numFmtId="0" xfId="0" applyAlignment="1" applyBorder="1" applyFont="1">
      <alignment vertical="center"/>
    </xf>
    <xf borderId="31" fillId="7" fontId="2" numFmtId="0" xfId="0" applyAlignment="1" applyBorder="1" applyFont="1">
      <alignment vertical="center"/>
    </xf>
    <xf borderId="30" fillId="4" fontId="2" numFmtId="166" xfId="0" applyAlignment="1" applyBorder="1" applyFont="1" applyNumberFormat="1">
      <alignment horizontal="right" vertical="center"/>
    </xf>
    <xf borderId="29" fillId="21" fontId="1" numFmtId="164" xfId="0" applyAlignment="1" applyBorder="1" applyFont="1" applyNumberFormat="1">
      <alignment vertical="center"/>
    </xf>
    <xf borderId="30" fillId="21" fontId="1" numFmtId="0" xfId="0" applyAlignment="1" applyBorder="1" applyFont="1">
      <alignment shrinkToFit="0" vertical="center" wrapText="1"/>
    </xf>
    <xf borderId="30" fillId="21" fontId="1" numFmtId="164" xfId="0" applyAlignment="1" applyBorder="1" applyFont="1" applyNumberFormat="1">
      <alignment shrinkToFit="0" vertical="center" wrapText="1"/>
    </xf>
    <xf borderId="30" fillId="21" fontId="2" numFmtId="0" xfId="0" applyAlignment="1" applyBorder="1" applyFont="1">
      <alignment shrinkToFit="0" vertical="center" wrapText="1"/>
    </xf>
    <xf borderId="31" fillId="21" fontId="2" numFmtId="0" xfId="0" applyAlignment="1" applyBorder="1" applyFont="1">
      <alignment shrinkToFit="0" vertical="center" wrapText="1"/>
    </xf>
    <xf borderId="19" fillId="21" fontId="2" numFmtId="0" xfId="0" applyAlignment="1" applyBorder="1" applyFont="1">
      <alignment horizontal="center" shrinkToFit="0" vertical="center" wrapText="1"/>
    </xf>
    <xf borderId="19" fillId="21" fontId="2" numFmtId="166" xfId="0" applyAlignment="1" applyBorder="1" applyFont="1" applyNumberFormat="1">
      <alignment horizontal="right" shrinkToFit="0" vertical="center" wrapText="1"/>
    </xf>
    <xf borderId="19" fillId="21" fontId="2" numFmtId="165" xfId="0" applyAlignment="1" applyBorder="1" applyFont="1" applyNumberFormat="1">
      <alignment horizontal="right" shrinkToFit="0" vertical="center" wrapText="1"/>
    </xf>
    <xf borderId="19" fillId="21" fontId="2" numFmtId="165" xfId="0" applyAlignment="1" applyBorder="1" applyFont="1" applyNumberFormat="1">
      <alignment shrinkToFit="0" vertical="center" wrapText="1"/>
    </xf>
    <xf borderId="19" fillId="21" fontId="2" numFmtId="165" xfId="0" applyAlignment="1" applyBorder="1" applyFont="1" applyNumberFormat="1">
      <alignment vertical="center"/>
    </xf>
    <xf borderId="31" fillId="9" fontId="1" numFmtId="0" xfId="0" applyAlignment="1" applyBorder="1" applyFont="1">
      <alignment vertical="center"/>
    </xf>
    <xf borderId="19" fillId="9" fontId="1" numFmtId="165" xfId="0" applyAlignment="1" applyBorder="1" applyFont="1" applyNumberFormat="1">
      <alignment readingOrder="0" shrinkToFit="0" vertical="center" wrapText="1"/>
    </xf>
    <xf borderId="19" fillId="9" fontId="1" numFmtId="165" xfId="0" applyAlignment="1" applyBorder="1" applyFont="1" applyNumberFormat="1">
      <alignment shrinkToFit="0" vertical="center" wrapText="1"/>
    </xf>
    <xf borderId="19" fillId="2" fontId="2" numFmtId="165" xfId="0" applyAlignment="1" applyBorder="1" applyFont="1" applyNumberFormat="1">
      <alignment horizontal="right" shrinkToFit="0" vertical="center" wrapText="1"/>
    </xf>
    <xf quotePrefix="1" borderId="20" fillId="0" fontId="2" numFmtId="0" xfId="0" applyAlignment="1" applyBorder="1" applyFont="1">
      <alignment shrinkToFit="0" vertical="center" wrapText="1"/>
    </xf>
    <xf quotePrefix="1" borderId="20" fillId="0" fontId="2" numFmtId="0" xfId="0" applyAlignment="1" applyBorder="1" applyFont="1">
      <alignment vertical="center"/>
    </xf>
    <xf borderId="30" fillId="2" fontId="2" numFmtId="166" xfId="0" applyAlignment="1" applyBorder="1" applyFont="1" applyNumberFormat="1">
      <alignment horizontal="right" vertical="center"/>
    </xf>
    <xf borderId="30" fillId="21" fontId="1" numFmtId="0" xfId="0" applyAlignment="1" applyBorder="1" applyFont="1">
      <alignment vertical="center"/>
    </xf>
    <xf borderId="30" fillId="21" fontId="1" numFmtId="167" xfId="0" applyAlignment="1" applyBorder="1" applyFont="1" applyNumberFormat="1">
      <alignment vertical="center"/>
    </xf>
    <xf borderId="30" fillId="21" fontId="2" numFmtId="0" xfId="0" applyAlignment="1" applyBorder="1" applyFont="1">
      <alignment vertical="center"/>
    </xf>
    <xf borderId="31" fillId="21" fontId="2" numFmtId="0" xfId="0" applyAlignment="1" applyBorder="1" applyFont="1">
      <alignment vertical="center"/>
    </xf>
    <xf borderId="30" fillId="9" fontId="1" numFmtId="167" xfId="0" applyAlignment="1" applyBorder="1" applyFont="1" applyNumberFormat="1">
      <alignment vertical="center"/>
    </xf>
    <xf quotePrefix="1" borderId="30" fillId="22" fontId="16" numFmtId="0" xfId="0" applyAlignment="1" applyBorder="1" applyFont="1">
      <alignment readingOrder="0" vertical="center"/>
    </xf>
    <xf borderId="21" fillId="0" fontId="1" numFmtId="164" xfId="0" applyAlignment="1" applyBorder="1" applyFont="1" applyNumberFormat="1">
      <alignment vertical="center"/>
    </xf>
    <xf borderId="22" fillId="0" fontId="1" numFmtId="164" xfId="0" applyAlignment="1" applyBorder="1" applyFont="1" applyNumberFormat="1">
      <alignment vertical="center"/>
    </xf>
    <xf borderId="32" fillId="7" fontId="2" numFmtId="0" xfId="0" applyAlignment="1" applyBorder="1" applyFont="1">
      <alignment horizontal="right" vertical="center"/>
    </xf>
    <xf quotePrefix="1" borderId="32" fillId="7" fontId="2" numFmtId="0" xfId="0" applyAlignment="1" applyBorder="1" applyFont="1">
      <alignment vertical="center"/>
    </xf>
    <xf borderId="32" fillId="7" fontId="2" numFmtId="0" xfId="0" applyAlignment="1" applyBorder="1" applyFont="1">
      <alignment vertical="center"/>
    </xf>
    <xf borderId="33" fillId="7" fontId="2" numFmtId="0" xfId="0" applyAlignment="1" applyBorder="1" applyFont="1">
      <alignment vertical="center"/>
    </xf>
    <xf borderId="34" fillId="2" fontId="2" numFmtId="0" xfId="0" applyAlignment="1" applyBorder="1" applyFont="1">
      <alignment horizontal="center" shrinkToFit="0" vertical="center" wrapText="1"/>
    </xf>
    <xf borderId="34" fillId="2" fontId="2" numFmtId="166" xfId="0" applyAlignment="1" applyBorder="1" applyFont="1" applyNumberFormat="1">
      <alignment horizontal="right" shrinkToFit="0" vertical="center" wrapText="1"/>
    </xf>
    <xf borderId="32" fillId="2" fontId="2" numFmtId="166" xfId="0" applyAlignment="1" applyBorder="1" applyFont="1" applyNumberFormat="1">
      <alignment horizontal="right" vertical="center"/>
    </xf>
    <xf borderId="34" fillId="2" fontId="2" numFmtId="165" xfId="0" applyAlignment="1" applyBorder="1" applyFont="1" applyNumberFormat="1">
      <alignment horizontal="right" shrinkToFit="0" vertical="center" wrapText="1"/>
    </xf>
    <xf borderId="34" fillId="2" fontId="2" numFmtId="165" xfId="0" applyAlignment="1" applyBorder="1" applyFont="1" applyNumberFormat="1">
      <alignment vertical="center"/>
    </xf>
    <xf borderId="34" fillId="0" fontId="2" numFmtId="165" xfId="0" applyAlignment="1" applyBorder="1" applyFont="1" applyNumberFormat="1">
      <alignment vertical="center"/>
    </xf>
    <xf borderId="35" fillId="7" fontId="1" numFmtId="164" xfId="0" applyAlignment="1" applyBorder="1" applyFont="1" applyNumberFormat="1">
      <alignment vertical="center"/>
    </xf>
    <xf borderId="36" fillId="7" fontId="1" numFmtId="164" xfId="0" applyAlignment="1" applyBorder="1" applyFont="1" applyNumberFormat="1">
      <alignment vertical="center"/>
    </xf>
    <xf borderId="36" fillId="7" fontId="2" numFmtId="0" xfId="0" applyAlignment="1" applyBorder="1" applyFont="1">
      <alignment vertical="center"/>
    </xf>
    <xf borderId="37" fillId="7" fontId="2" numFmtId="0" xfId="0" applyAlignment="1" applyBorder="1" applyFont="1">
      <alignment vertical="center"/>
    </xf>
    <xf borderId="38" fillId="7" fontId="2" numFmtId="0" xfId="0" applyAlignment="1" applyBorder="1" applyFont="1">
      <alignment horizontal="left" vertical="center"/>
    </xf>
    <xf borderId="38" fillId="7" fontId="2" numFmtId="166" xfId="0" applyAlignment="1" applyBorder="1" applyFont="1" applyNumberFormat="1">
      <alignment horizontal="left" vertical="center"/>
    </xf>
    <xf borderId="38" fillId="7" fontId="2" numFmtId="165" xfId="0" applyAlignment="1" applyBorder="1" applyFont="1" applyNumberFormat="1">
      <alignment horizontal="left" vertical="center"/>
    </xf>
    <xf borderId="38" fillId="7" fontId="2" numFmtId="165" xfId="0" applyAlignment="1" applyBorder="1" applyFont="1" applyNumberFormat="1">
      <alignment vertical="center"/>
    </xf>
    <xf borderId="29" fillId="24" fontId="1" numFmtId="164" xfId="0" applyAlignment="1" applyBorder="1" applyFill="1" applyFont="1" applyNumberFormat="1">
      <alignment vertical="center"/>
    </xf>
    <xf borderId="30" fillId="24" fontId="1" numFmtId="164" xfId="0" applyAlignment="1" applyBorder="1" applyFont="1" applyNumberFormat="1">
      <alignment vertical="center"/>
    </xf>
    <xf borderId="30" fillId="24" fontId="1" numFmtId="0" xfId="0" applyAlignment="1" applyBorder="1" applyFont="1">
      <alignment vertical="center"/>
    </xf>
    <xf borderId="31" fillId="24" fontId="1" numFmtId="0" xfId="0" applyAlignment="1" applyBorder="1" applyFont="1">
      <alignment vertical="center"/>
    </xf>
    <xf borderId="19" fillId="24" fontId="1" numFmtId="0" xfId="0" applyAlignment="1" applyBorder="1" applyFont="1">
      <alignment horizontal="center" vertical="center"/>
    </xf>
    <xf borderId="19" fillId="24" fontId="1" numFmtId="166" xfId="0" applyAlignment="1" applyBorder="1" applyFont="1" applyNumberFormat="1">
      <alignment horizontal="center" vertical="center"/>
    </xf>
    <xf borderId="19" fillId="24" fontId="1" numFmtId="165" xfId="0" applyAlignment="1" applyBorder="1" applyFont="1" applyNumberFormat="1">
      <alignment horizontal="center" vertical="center"/>
    </xf>
    <xf borderId="19" fillId="24" fontId="2" numFmtId="165" xfId="0" applyAlignment="1" applyBorder="1" applyFont="1" applyNumberFormat="1">
      <alignment horizontal="right" shrinkToFit="0" vertical="center" wrapText="1"/>
    </xf>
    <xf borderId="29" fillId="22" fontId="1" numFmtId="164" xfId="0" applyAlignment="1" applyBorder="1" applyFont="1" applyNumberFormat="1">
      <alignment vertical="center"/>
    </xf>
    <xf borderId="30" fillId="22" fontId="1" numFmtId="0" xfId="0" applyAlignment="1" applyBorder="1" applyFont="1">
      <alignment vertical="center"/>
    </xf>
    <xf borderId="30" fillId="22" fontId="1" numFmtId="164" xfId="0" applyAlignment="1" applyBorder="1" applyFont="1" applyNumberFormat="1">
      <alignment vertical="center"/>
    </xf>
    <xf borderId="31" fillId="22" fontId="1" numFmtId="0" xfId="0" applyAlignment="1" applyBorder="1" applyFont="1">
      <alignment vertical="center"/>
    </xf>
    <xf borderId="19" fillId="22" fontId="1" numFmtId="0" xfId="0" applyAlignment="1" applyBorder="1" applyFont="1">
      <alignment horizontal="center" shrinkToFit="0" vertical="center" wrapText="1"/>
    </xf>
    <xf borderId="19" fillId="22" fontId="1" numFmtId="166" xfId="0" applyAlignment="1" applyBorder="1" applyFont="1" applyNumberFormat="1">
      <alignment horizontal="right" shrinkToFit="0" vertical="center" wrapText="1"/>
    </xf>
    <xf borderId="19" fillId="22" fontId="1" numFmtId="165" xfId="0" applyAlignment="1" applyBorder="1" applyFont="1" applyNumberFormat="1">
      <alignment horizontal="right" shrinkToFit="0" vertical="center" wrapText="1"/>
    </xf>
    <xf borderId="19" fillId="22" fontId="1" numFmtId="165" xfId="0" applyAlignment="1" applyBorder="1" applyFont="1" applyNumberFormat="1">
      <alignment vertical="center"/>
    </xf>
    <xf borderId="29" fillId="25" fontId="1" numFmtId="164" xfId="0" applyAlignment="1" applyBorder="1" applyFill="1" applyFont="1" applyNumberFormat="1">
      <alignment vertical="center"/>
    </xf>
    <xf borderId="30" fillId="25" fontId="1" numFmtId="164" xfId="0" applyAlignment="1" applyBorder="1" applyFont="1" applyNumberFormat="1">
      <alignment vertical="center"/>
    </xf>
    <xf borderId="30" fillId="25" fontId="1" numFmtId="0" xfId="0" applyAlignment="1" applyBorder="1" applyFont="1">
      <alignment vertical="center"/>
    </xf>
    <xf borderId="31" fillId="25" fontId="1" numFmtId="0" xfId="0" applyAlignment="1" applyBorder="1" applyFont="1">
      <alignment vertical="center"/>
    </xf>
    <xf borderId="19" fillId="25" fontId="2" numFmtId="0" xfId="0" applyAlignment="1" applyBorder="1" applyFont="1">
      <alignment horizontal="center" shrinkToFit="0" vertical="center" wrapText="1"/>
    </xf>
    <xf borderId="19" fillId="25" fontId="2" numFmtId="166" xfId="0" applyAlignment="1" applyBorder="1" applyFont="1" applyNumberFormat="1">
      <alignment horizontal="right" shrinkToFit="0" vertical="center" wrapText="1"/>
    </xf>
    <xf borderId="19" fillId="25" fontId="2" numFmtId="165" xfId="0" applyAlignment="1" applyBorder="1" applyFont="1" applyNumberFormat="1">
      <alignment horizontal="right" shrinkToFit="0" vertical="center" wrapText="1"/>
    </xf>
    <xf borderId="19" fillId="25" fontId="1" numFmtId="165" xfId="0" applyAlignment="1" applyBorder="1" applyFont="1" applyNumberFormat="1">
      <alignment vertical="center"/>
    </xf>
    <xf borderId="18" fillId="0" fontId="2" numFmtId="0" xfId="0" applyAlignment="1" applyBorder="1" applyFont="1">
      <alignment readingOrder="0" vertical="center"/>
    </xf>
    <xf borderId="19" fillId="2" fontId="2" numFmtId="0" xfId="0" applyAlignment="1" applyBorder="1" applyFont="1">
      <alignment horizontal="center" readingOrder="0" shrinkToFit="0" vertical="center" wrapText="1"/>
    </xf>
    <xf borderId="20" fillId="0" fontId="2" numFmtId="0" xfId="0" applyAlignment="1" applyBorder="1" applyFont="1">
      <alignment readingOrder="0" vertical="center"/>
    </xf>
    <xf borderId="19" fillId="4" fontId="2" numFmtId="166" xfId="0" applyAlignment="1" applyBorder="1" applyFont="1" applyNumberFormat="1">
      <alignment horizontal="right" shrinkToFit="0" wrapText="1"/>
    </xf>
    <xf borderId="19" fillId="25" fontId="1" numFmtId="0" xfId="0" applyAlignment="1" applyBorder="1" applyFont="1">
      <alignment horizontal="center" shrinkToFit="1" vertical="center" wrapText="0"/>
    </xf>
    <xf borderId="19" fillId="25" fontId="1" numFmtId="166" xfId="0" applyAlignment="1" applyBorder="1" applyFont="1" applyNumberFormat="1">
      <alignment horizontal="right" shrinkToFit="0" vertical="center" wrapText="1"/>
    </xf>
    <xf borderId="19" fillId="25" fontId="1" numFmtId="165" xfId="0" applyAlignment="1" applyBorder="1" applyFont="1" applyNumberFormat="1">
      <alignment horizontal="right" shrinkToFit="0" vertical="center" wrapText="1"/>
    </xf>
    <xf borderId="19" fillId="25" fontId="1" numFmtId="0" xfId="0" applyAlignment="1" applyBorder="1" applyFont="1">
      <alignment horizontal="center" shrinkToFit="0" vertical="center" wrapText="1"/>
    </xf>
    <xf borderId="32" fillId="4" fontId="2" numFmtId="166" xfId="0" applyAlignment="1" applyBorder="1" applyFont="1" applyNumberFormat="1">
      <alignment horizontal="right" vertical="center"/>
    </xf>
    <xf borderId="34" fillId="0" fontId="2" numFmtId="165" xfId="0" applyAlignment="1" applyBorder="1" applyFont="1" applyNumberFormat="1">
      <alignment horizontal="right" shrinkToFit="0" vertical="center" wrapText="1"/>
    </xf>
    <xf borderId="30" fillId="25" fontId="1" numFmtId="164" xfId="0" applyAlignment="1" applyBorder="1" applyFont="1" applyNumberFormat="1">
      <alignment horizontal="left" vertical="center"/>
    </xf>
    <xf borderId="19" fillId="2" fontId="1" numFmtId="165" xfId="0" applyAlignment="1" applyBorder="1" applyFont="1" applyNumberFormat="1">
      <alignment horizontal="right" shrinkToFit="0" vertical="center" wrapText="1"/>
    </xf>
    <xf borderId="18" fillId="0" fontId="1" numFmtId="0" xfId="0" applyAlignment="1" applyBorder="1" applyFont="1">
      <alignment vertical="center"/>
    </xf>
    <xf borderId="19" fillId="0" fontId="1" numFmtId="165" xfId="0" applyAlignment="1" applyBorder="1" applyFont="1" applyNumberFormat="1">
      <alignment vertical="center"/>
    </xf>
    <xf quotePrefix="1" borderId="20" fillId="0" fontId="2" numFmtId="0" xfId="0" applyAlignment="1" applyBorder="1" applyFont="1">
      <alignment readingOrder="0" vertical="center"/>
    </xf>
    <xf borderId="30" fillId="22" fontId="1" numFmtId="164" xfId="0" applyAlignment="1" applyBorder="1" applyFont="1" applyNumberFormat="1">
      <alignment horizontal="left" vertical="center"/>
    </xf>
    <xf borderId="35" fillId="26" fontId="1" numFmtId="164" xfId="0" applyAlignment="1" applyBorder="1" applyFill="1" applyFont="1" applyNumberFormat="1">
      <alignment vertical="center"/>
    </xf>
    <xf borderId="36" fillId="26" fontId="1" numFmtId="164" xfId="0" applyAlignment="1" applyBorder="1" applyFont="1" applyNumberFormat="1">
      <alignment vertical="center"/>
    </xf>
    <xf borderId="36" fillId="26" fontId="1" numFmtId="0" xfId="0" applyAlignment="1" applyBorder="1" applyFont="1">
      <alignment vertical="center"/>
    </xf>
    <xf borderId="37" fillId="26" fontId="1" numFmtId="0" xfId="0" applyAlignment="1" applyBorder="1" applyFont="1">
      <alignment vertical="center"/>
    </xf>
    <xf borderId="38" fillId="26" fontId="1" numFmtId="0" xfId="0" applyAlignment="1" applyBorder="1" applyFont="1">
      <alignment horizontal="left" vertical="center"/>
    </xf>
    <xf borderId="38" fillId="26" fontId="1" numFmtId="166" xfId="0" applyAlignment="1" applyBorder="1" applyFont="1" applyNumberFormat="1">
      <alignment horizontal="left" vertical="center"/>
    </xf>
    <xf borderId="38" fillId="26" fontId="1" numFmtId="165" xfId="0" applyAlignment="1" applyBorder="1" applyFont="1" applyNumberFormat="1">
      <alignment horizontal="left" vertical="center"/>
    </xf>
    <xf borderId="38" fillId="26" fontId="1" numFmtId="165" xfId="0" applyAlignment="1" applyBorder="1" applyFont="1" applyNumberFormat="1">
      <alignment vertical="center"/>
    </xf>
    <xf borderId="38" fillId="26" fontId="2" numFmtId="165" xfId="0" applyAlignment="1" applyBorder="1" applyFont="1" applyNumberFormat="1">
      <alignment vertical="center"/>
    </xf>
    <xf borderId="29" fillId="27" fontId="1" numFmtId="164" xfId="0" applyAlignment="1" applyBorder="1" applyFill="1" applyFont="1" applyNumberFormat="1">
      <alignment vertical="center"/>
    </xf>
    <xf borderId="30" fillId="27" fontId="1" numFmtId="164" xfId="0" applyAlignment="1" applyBorder="1" applyFont="1" applyNumberFormat="1">
      <alignment vertical="center"/>
    </xf>
    <xf borderId="30" fillId="27" fontId="1" numFmtId="0" xfId="0" applyAlignment="1" applyBorder="1" applyFont="1">
      <alignment vertical="center"/>
    </xf>
    <xf borderId="31" fillId="27" fontId="1" numFmtId="0" xfId="0" applyAlignment="1" applyBorder="1" applyFont="1">
      <alignment vertical="center"/>
    </xf>
    <xf borderId="19" fillId="27" fontId="1" numFmtId="0" xfId="0" applyAlignment="1" applyBorder="1" applyFont="1">
      <alignment horizontal="center" vertical="center"/>
    </xf>
    <xf borderId="19" fillId="27" fontId="1" numFmtId="166" xfId="0" applyAlignment="1" applyBorder="1" applyFont="1" applyNumberFormat="1">
      <alignment vertical="center"/>
    </xf>
    <xf borderId="19" fillId="27" fontId="1" numFmtId="165" xfId="0" applyAlignment="1" applyBorder="1" applyFont="1" applyNumberFormat="1">
      <alignment vertical="center"/>
    </xf>
    <xf borderId="19" fillId="27" fontId="2" numFmtId="165" xfId="0" applyAlignment="1" applyBorder="1" applyFont="1" applyNumberFormat="1">
      <alignment horizontal="right" shrinkToFit="0" vertical="center" wrapText="1"/>
    </xf>
    <xf borderId="29" fillId="28" fontId="1" numFmtId="164" xfId="0" applyAlignment="1" applyBorder="1" applyFill="1" applyFont="1" applyNumberFormat="1">
      <alignment vertical="center"/>
    </xf>
    <xf borderId="30" fillId="28" fontId="1" numFmtId="0" xfId="0" applyAlignment="1" applyBorder="1" applyFont="1">
      <alignment vertical="center"/>
    </xf>
    <xf borderId="31" fillId="28" fontId="1" numFmtId="0" xfId="0" applyAlignment="1" applyBorder="1" applyFont="1">
      <alignment vertical="center"/>
    </xf>
    <xf borderId="19" fillId="28" fontId="1" numFmtId="0" xfId="0" applyAlignment="1" applyBorder="1" applyFont="1">
      <alignment horizontal="center" shrinkToFit="0" vertical="center" wrapText="1"/>
    </xf>
    <xf borderId="19" fillId="28" fontId="1" numFmtId="166" xfId="0" applyAlignment="1" applyBorder="1" applyFont="1" applyNumberFormat="1">
      <alignment horizontal="right" shrinkToFit="0" vertical="center" wrapText="1"/>
    </xf>
    <xf borderId="19" fillId="28" fontId="1" numFmtId="165" xfId="0" applyAlignment="1" applyBorder="1" applyFont="1" applyNumberFormat="1">
      <alignment horizontal="right" shrinkToFit="0" vertical="center" wrapText="1"/>
    </xf>
    <xf borderId="19" fillId="28" fontId="1" numFmtId="165" xfId="0" applyAlignment="1" applyBorder="1" applyFont="1" applyNumberFormat="1">
      <alignment vertical="center"/>
    </xf>
    <xf borderId="31" fillId="27" fontId="1" numFmtId="164" xfId="0" applyAlignment="1" applyBorder="1" applyFont="1" applyNumberFormat="1">
      <alignment vertical="center"/>
    </xf>
    <xf borderId="19" fillId="27" fontId="1" numFmtId="0" xfId="0" applyAlignment="1" applyBorder="1" applyFont="1">
      <alignment horizontal="left" vertical="center"/>
    </xf>
    <xf borderId="19" fillId="27" fontId="1" numFmtId="166" xfId="0" applyAlignment="1" applyBorder="1" applyFont="1" applyNumberFormat="1">
      <alignment horizontal="right" vertical="center"/>
    </xf>
    <xf borderId="19" fillId="27" fontId="1" numFmtId="165" xfId="0" applyAlignment="1" applyBorder="1" applyFont="1" applyNumberFormat="1">
      <alignment horizontal="right" vertical="center"/>
    </xf>
    <xf borderId="29" fillId="28" fontId="1" numFmtId="167" xfId="0" applyAlignment="1" applyBorder="1" applyFont="1" applyNumberFormat="1">
      <alignment vertical="center"/>
    </xf>
    <xf borderId="30" fillId="28" fontId="1" numFmtId="167" xfId="0" applyAlignment="1" applyBorder="1" applyFont="1" applyNumberFormat="1">
      <alignment vertical="center"/>
    </xf>
    <xf borderId="30" fillId="28" fontId="1" numFmtId="164" xfId="0" applyAlignment="1" applyBorder="1" applyFont="1" applyNumberFormat="1">
      <alignment vertical="center"/>
    </xf>
    <xf borderId="31" fillId="2" fontId="2" numFmtId="166" xfId="0" applyAlignment="1" applyBorder="1" applyFont="1" applyNumberFormat="1">
      <alignment horizontal="right" vertical="center"/>
    </xf>
    <xf borderId="39" fillId="28" fontId="1" numFmtId="167" xfId="0" applyAlignment="1" applyBorder="1" applyFont="1" applyNumberFormat="1">
      <alignment vertical="center"/>
    </xf>
    <xf borderId="40" fillId="28" fontId="1" numFmtId="0" xfId="0" applyAlignment="1" applyBorder="1" applyFont="1">
      <alignment vertical="center"/>
    </xf>
    <xf borderId="40" fillId="28" fontId="1" numFmtId="167" xfId="0" applyAlignment="1" applyBorder="1" applyFont="1" applyNumberFormat="1">
      <alignment vertical="center"/>
    </xf>
    <xf borderId="40" fillId="28" fontId="1" numFmtId="164" xfId="0" applyAlignment="1" applyBorder="1" applyFont="1" applyNumberFormat="1">
      <alignment vertical="center"/>
    </xf>
    <xf borderId="41" fillId="28" fontId="1" numFmtId="0" xfId="0" applyAlignment="1" applyBorder="1" applyFont="1">
      <alignment vertical="center"/>
    </xf>
    <xf borderId="42" fillId="28" fontId="1" numFmtId="0" xfId="0" applyAlignment="1" applyBorder="1" applyFont="1">
      <alignment horizontal="center" shrinkToFit="0" vertical="center" wrapText="1"/>
    </xf>
    <xf borderId="42" fillId="28" fontId="1" numFmtId="166" xfId="0" applyAlignment="1" applyBorder="1" applyFont="1" applyNumberFormat="1">
      <alignment horizontal="right" shrinkToFit="0" vertical="center" wrapText="1"/>
    </xf>
    <xf borderId="42" fillId="28" fontId="1" numFmtId="165" xfId="0" applyAlignment="1" applyBorder="1" applyFont="1" applyNumberFormat="1">
      <alignment horizontal="right" shrinkToFit="0" vertical="center" wrapText="1"/>
    </xf>
    <xf borderId="42" fillId="28" fontId="1" numFmtId="165" xfId="0" applyAlignment="1" applyBorder="1" applyFont="1" applyNumberFormat="1">
      <alignment vertical="center"/>
    </xf>
    <xf borderId="15" fillId="0" fontId="2" numFmtId="166" xfId="0" applyAlignment="1" applyBorder="1" applyFont="1" applyNumberFormat="1">
      <alignment horizontal="right" shrinkToFit="0" vertical="center" wrapText="1"/>
    </xf>
    <xf borderId="15" fillId="0" fontId="2" numFmtId="165" xfId="0" applyAlignment="1" applyBorder="1" applyFont="1" applyNumberFormat="1">
      <alignment horizontal="right" shrinkToFit="0" vertical="center" wrapText="1"/>
    </xf>
    <xf borderId="30" fillId="28" fontId="1" numFmtId="0" xfId="0" applyAlignment="1" applyBorder="1" applyFont="1">
      <alignment readingOrder="0" vertical="center"/>
    </xf>
    <xf borderId="19" fillId="28" fontId="1" numFmtId="166" xfId="0" applyAlignment="1" applyBorder="1" applyFont="1" applyNumberFormat="1">
      <alignment horizontal="center" vertical="center"/>
    </xf>
    <xf borderId="18" fillId="0" fontId="17" numFmtId="0" xfId="0" applyAlignment="1" applyBorder="1" applyFont="1">
      <alignment vertical="center"/>
    </xf>
    <xf borderId="19" fillId="2" fontId="2" numFmtId="166" xfId="0" applyAlignment="1" applyBorder="1" applyFont="1" applyNumberFormat="1">
      <alignment horizontal="center" vertical="center"/>
    </xf>
    <xf borderId="19" fillId="2" fontId="2" numFmtId="165" xfId="0" applyAlignment="1" applyBorder="1" applyFont="1" applyNumberFormat="1">
      <alignment horizontal="center" vertical="center"/>
    </xf>
    <xf borderId="19" fillId="0" fontId="2" numFmtId="165" xfId="0" applyAlignment="1" applyBorder="1" applyFont="1" applyNumberFormat="1">
      <alignment horizontal="left" shrinkToFit="1" vertical="center" wrapText="0"/>
    </xf>
    <xf borderId="19" fillId="0" fontId="2" numFmtId="0" xfId="0" applyAlignment="1" applyBorder="1" applyFont="1">
      <alignment horizontal="center" readingOrder="0" shrinkToFit="0" vertical="center" wrapText="1"/>
    </xf>
    <xf borderId="19" fillId="2" fontId="2" numFmtId="166" xfId="0" applyAlignment="1" applyBorder="1" applyFont="1" applyNumberFormat="1">
      <alignment horizontal="center" readingOrder="0" vertical="center"/>
    </xf>
    <xf borderId="22" fillId="0" fontId="1" numFmtId="0" xfId="0" applyAlignment="1" applyBorder="1" applyFont="1">
      <alignment vertical="center"/>
    </xf>
    <xf borderId="22" fillId="0" fontId="2" numFmtId="0" xfId="0" applyAlignment="1" applyBorder="1" applyFont="1">
      <alignment vertical="center"/>
    </xf>
    <xf borderId="23" fillId="0" fontId="2" numFmtId="0" xfId="0" applyAlignment="1" applyBorder="1" applyFont="1">
      <alignment vertical="center"/>
    </xf>
    <xf borderId="34" fillId="0" fontId="2" numFmtId="0" xfId="0" applyAlignment="1" applyBorder="1" applyFont="1">
      <alignment horizontal="center" shrinkToFit="0" vertical="center" wrapText="1"/>
    </xf>
    <xf borderId="34" fillId="2" fontId="2" numFmtId="166" xfId="0" applyAlignment="1" applyBorder="1" applyFont="1" applyNumberFormat="1">
      <alignment horizontal="center" readingOrder="0" vertical="center"/>
    </xf>
    <xf borderId="34" fillId="2" fontId="2" numFmtId="165" xfId="0" applyAlignment="1" applyBorder="1" applyFont="1" applyNumberFormat="1">
      <alignment horizontal="center" vertical="center"/>
    </xf>
    <xf borderId="34" fillId="0" fontId="2" numFmtId="165" xfId="0" applyAlignment="1" applyBorder="1" applyFont="1" applyNumberFormat="1">
      <alignment horizontal="left" shrinkToFit="1" vertical="center" wrapText="0"/>
    </xf>
    <xf borderId="35" fillId="29" fontId="1" numFmtId="0" xfId="0" applyAlignment="1" applyBorder="1" applyFill="1" applyFont="1">
      <alignment vertical="center"/>
    </xf>
    <xf borderId="36" fillId="29" fontId="1" numFmtId="0" xfId="0" applyAlignment="1" applyBorder="1" applyFont="1">
      <alignment vertical="center"/>
    </xf>
    <xf borderId="37" fillId="29" fontId="1" numFmtId="0" xfId="0" applyAlignment="1" applyBorder="1" applyFont="1">
      <alignment vertical="center"/>
    </xf>
    <xf borderId="38" fillId="29" fontId="1" numFmtId="0" xfId="0" applyAlignment="1" applyBorder="1" applyFont="1">
      <alignment vertical="center"/>
    </xf>
    <xf borderId="38" fillId="29" fontId="1" numFmtId="166" xfId="0" applyAlignment="1" applyBorder="1" applyFont="1" applyNumberFormat="1">
      <alignment vertical="center"/>
    </xf>
    <xf borderId="38" fillId="29" fontId="1" numFmtId="165" xfId="0" applyAlignment="1" applyBorder="1" applyFont="1" applyNumberFormat="1">
      <alignment vertical="center"/>
    </xf>
    <xf borderId="29" fillId="30" fontId="1" numFmtId="0" xfId="0" applyAlignment="1" applyBorder="1" applyFill="1" applyFont="1">
      <alignment vertical="center"/>
    </xf>
    <xf borderId="30" fillId="30" fontId="1" numFmtId="0" xfId="0" applyAlignment="1" applyBorder="1" applyFont="1">
      <alignment vertical="center"/>
    </xf>
    <xf borderId="31" fillId="30" fontId="1" numFmtId="0" xfId="0" applyAlignment="1" applyBorder="1" applyFont="1">
      <alignment vertical="center"/>
    </xf>
    <xf borderId="19" fillId="30" fontId="1" numFmtId="0" xfId="0" applyAlignment="1" applyBorder="1" applyFont="1">
      <alignment horizontal="left" vertical="center"/>
    </xf>
    <xf borderId="19" fillId="30" fontId="1" numFmtId="166" xfId="0" applyAlignment="1" applyBorder="1" applyFont="1" applyNumberFormat="1">
      <alignment horizontal="left" vertical="center"/>
    </xf>
    <xf borderId="19" fillId="30" fontId="1" numFmtId="165" xfId="0" applyAlignment="1" applyBorder="1" applyFont="1" applyNumberFormat="1">
      <alignment horizontal="left" vertical="center"/>
    </xf>
    <xf borderId="19" fillId="30" fontId="1" numFmtId="165" xfId="0" applyAlignment="1" applyBorder="1" applyFont="1" applyNumberFormat="1">
      <alignment vertical="center"/>
    </xf>
    <xf borderId="29" fillId="31" fontId="1" numFmtId="0" xfId="0" applyAlignment="1" applyBorder="1" applyFill="1" applyFont="1">
      <alignment vertical="center"/>
    </xf>
    <xf borderId="30" fillId="31" fontId="1" numFmtId="164" xfId="0" applyAlignment="1" applyBorder="1" applyFont="1" applyNumberFormat="1">
      <alignment vertical="center"/>
    </xf>
    <xf borderId="30" fillId="31" fontId="1" numFmtId="0" xfId="0" applyAlignment="1" applyBorder="1" applyFont="1">
      <alignment vertical="center"/>
    </xf>
    <xf borderId="31" fillId="31" fontId="1" numFmtId="0" xfId="0" applyAlignment="1" applyBorder="1" applyFont="1">
      <alignment vertical="center"/>
    </xf>
    <xf borderId="19" fillId="31" fontId="1" numFmtId="0" xfId="0" applyAlignment="1" applyBorder="1" applyFont="1">
      <alignment horizontal="center" vertical="center"/>
    </xf>
    <xf borderId="19" fillId="31" fontId="1" numFmtId="166" xfId="0" applyAlignment="1" applyBorder="1" applyFont="1" applyNumberFormat="1">
      <alignment horizontal="center" vertical="center"/>
    </xf>
    <xf borderId="19" fillId="31" fontId="1" numFmtId="165" xfId="0" applyAlignment="1" applyBorder="1" applyFont="1" applyNumberFormat="1">
      <alignment horizontal="right" shrinkToFit="0" vertical="center" wrapText="1"/>
    </xf>
    <xf borderId="19" fillId="31" fontId="1" numFmtId="165" xfId="0" applyAlignment="1" applyBorder="1" applyFont="1" applyNumberFormat="1">
      <alignment vertical="center"/>
    </xf>
    <xf borderId="31" fillId="2" fontId="2" numFmtId="0" xfId="0" applyAlignment="1" applyBorder="1" applyFont="1">
      <alignment horizontal="left" readingOrder="0" vertical="center"/>
    </xf>
    <xf borderId="17" fillId="2" fontId="1" numFmtId="164" xfId="0" applyAlignment="1" applyBorder="1" applyFont="1" applyNumberFormat="1">
      <alignment vertical="center"/>
    </xf>
    <xf borderId="18" fillId="2" fontId="1" numFmtId="164" xfId="0" applyAlignment="1" applyBorder="1" applyFont="1" applyNumberFormat="1">
      <alignment vertical="center"/>
    </xf>
    <xf borderId="30" fillId="2" fontId="18" numFmtId="0" xfId="0" applyAlignment="1" applyBorder="1" applyFont="1">
      <alignment vertical="center"/>
    </xf>
    <xf borderId="31" fillId="2" fontId="2" numFmtId="0" xfId="0" applyAlignment="1" applyBorder="1" applyFont="1">
      <alignment readingOrder="0" vertical="center"/>
    </xf>
    <xf borderId="19" fillId="6" fontId="2" numFmtId="165" xfId="0" applyAlignment="1" applyBorder="1" applyFont="1" applyNumberFormat="1">
      <alignment readingOrder="0" vertical="center"/>
    </xf>
    <xf quotePrefix="1" borderId="20" fillId="2" fontId="2" numFmtId="0" xfId="0" applyAlignment="1" applyBorder="1" applyFont="1">
      <alignment readingOrder="0" vertical="center"/>
    </xf>
    <xf borderId="20" fillId="2" fontId="2" numFmtId="0" xfId="0" applyAlignment="1" applyBorder="1" applyFont="1">
      <alignment vertical="center"/>
    </xf>
    <xf borderId="30" fillId="31" fontId="2" numFmtId="0" xfId="0" applyAlignment="1" applyBorder="1" applyFont="1">
      <alignment vertical="center"/>
    </xf>
    <xf borderId="31" fillId="31" fontId="2" numFmtId="0" xfId="0" applyAlignment="1" applyBorder="1" applyFont="1">
      <alignment vertical="center"/>
    </xf>
    <xf borderId="18" fillId="31" fontId="1" numFmtId="0" xfId="0" applyAlignment="1" applyBorder="1" applyFont="1">
      <alignment vertical="center"/>
    </xf>
    <xf borderId="18" fillId="31" fontId="2" numFmtId="0" xfId="0" applyAlignment="1" applyBorder="1" applyFont="1">
      <alignment vertical="center"/>
    </xf>
    <xf borderId="20" fillId="31" fontId="2" numFmtId="0" xfId="0" applyAlignment="1" applyBorder="1" applyFont="1">
      <alignment vertical="center"/>
    </xf>
    <xf borderId="20" fillId="31" fontId="1" numFmtId="0" xfId="0" applyAlignment="1" applyBorder="1" applyFont="1">
      <alignment vertical="center"/>
    </xf>
    <xf borderId="20" fillId="0" fontId="1" numFmtId="0" xfId="0" applyAlignment="1" applyBorder="1" applyFont="1">
      <alignment vertical="center"/>
    </xf>
    <xf borderId="19" fillId="2" fontId="1" numFmtId="0" xfId="0" applyAlignment="1" applyBorder="1" applyFont="1">
      <alignment horizontal="center" readingOrder="0" shrinkToFit="0" vertical="center" wrapText="1"/>
    </xf>
    <xf quotePrefix="1" borderId="18" fillId="0" fontId="2" numFmtId="0" xfId="0" applyAlignment="1" applyBorder="1" applyFont="1">
      <alignment horizontal="left" vertical="center"/>
    </xf>
    <xf borderId="19" fillId="2" fontId="1" numFmtId="166" xfId="0" applyAlignment="1" applyBorder="1" applyFont="1" applyNumberFormat="1">
      <alignment horizontal="center" vertical="center"/>
    </xf>
    <xf borderId="19" fillId="15" fontId="1" numFmtId="166" xfId="0" applyAlignment="1" applyBorder="1" applyFont="1" applyNumberFormat="1">
      <alignment horizontal="right" shrinkToFit="0" wrapText="1"/>
    </xf>
    <xf borderId="19" fillId="4" fontId="1" numFmtId="166" xfId="0" applyAlignment="1" applyBorder="1" applyFont="1" applyNumberFormat="1">
      <alignment horizontal="right" shrinkToFit="0" wrapText="1"/>
    </xf>
    <xf borderId="19" fillId="4" fontId="2" numFmtId="166" xfId="0" applyAlignment="1" applyBorder="1" applyFont="1" applyNumberFormat="1">
      <alignment horizontal="right" readingOrder="0" shrinkToFit="0" wrapText="1"/>
    </xf>
    <xf borderId="22" fillId="0" fontId="1" numFmtId="164" xfId="0" applyAlignment="1" applyBorder="1" applyFont="1" applyNumberFormat="1">
      <alignment horizontal="left" vertical="center"/>
    </xf>
    <xf borderId="22" fillId="0" fontId="2" numFmtId="0" xfId="0" applyAlignment="1" applyBorder="1" applyFont="1">
      <alignment horizontal="right" vertical="center"/>
    </xf>
    <xf quotePrefix="1" borderId="23" fillId="0" fontId="2" numFmtId="0" xfId="0" applyAlignment="1" applyBorder="1" applyFont="1">
      <alignment vertical="center"/>
    </xf>
    <xf borderId="34" fillId="2" fontId="2" numFmtId="166" xfId="0" applyAlignment="1" applyBorder="1" applyFont="1" applyNumberFormat="1">
      <alignment horizontal="center" vertical="center"/>
    </xf>
    <xf quotePrefix="1" borderId="18" fillId="0" fontId="2" numFmtId="0" xfId="0" applyAlignment="1" applyBorder="1" applyFont="1">
      <alignment horizontal="left" readingOrder="0" vertical="center"/>
    </xf>
    <xf borderId="19" fillId="0" fontId="2" numFmtId="166" xfId="0" applyAlignment="1" applyBorder="1" applyFont="1" applyNumberFormat="1">
      <alignment horizontal="center" vertical="center"/>
    </xf>
    <xf borderId="19" fillId="2" fontId="1" numFmtId="0" xfId="0" applyAlignment="1" applyBorder="1" applyFont="1">
      <alignment horizontal="center" shrinkToFit="0" vertical="center" wrapText="1"/>
    </xf>
    <xf borderId="17" fillId="0" fontId="2" numFmtId="164" xfId="0" applyAlignment="1" applyBorder="1" applyFont="1" applyNumberFormat="1">
      <alignment vertical="center"/>
    </xf>
    <xf borderId="18" fillId="0" fontId="2" numFmtId="164" xfId="0" applyAlignment="1" applyBorder="1" applyFont="1" applyNumberFormat="1">
      <alignment vertical="center"/>
    </xf>
    <xf borderId="18" fillId="0" fontId="2" numFmtId="164" xfId="0" applyAlignment="1" applyBorder="1" applyFont="1" applyNumberFormat="1">
      <alignment horizontal="left" vertical="center"/>
    </xf>
    <xf borderId="39" fillId="31" fontId="1" numFmtId="0" xfId="0" applyAlignment="1" applyBorder="1" applyFont="1">
      <alignment vertical="center"/>
    </xf>
    <xf borderId="40" fillId="31" fontId="1" numFmtId="164" xfId="0" applyAlignment="1" applyBorder="1" applyFont="1" applyNumberFormat="1">
      <alignment vertical="center"/>
    </xf>
    <xf borderId="40" fillId="31" fontId="1" numFmtId="0" xfId="0" applyAlignment="1" applyBorder="1" applyFont="1">
      <alignment vertical="center"/>
    </xf>
    <xf borderId="41" fillId="31" fontId="1" numFmtId="0" xfId="0" applyAlignment="1" applyBorder="1" applyFont="1">
      <alignment vertical="center"/>
    </xf>
    <xf borderId="42" fillId="31" fontId="1" numFmtId="0" xfId="0" applyAlignment="1" applyBorder="1" applyFont="1">
      <alignment horizontal="center" vertical="center"/>
    </xf>
    <xf borderId="42" fillId="31" fontId="1" numFmtId="166" xfId="0" applyAlignment="1" applyBorder="1" applyFont="1" applyNumberFormat="1">
      <alignment horizontal="center" vertical="center"/>
    </xf>
    <xf borderId="42" fillId="31" fontId="1" numFmtId="165" xfId="0" applyAlignment="1" applyBorder="1" applyFont="1" applyNumberFormat="1">
      <alignment horizontal="right" shrinkToFit="0" vertical="center" wrapText="1"/>
    </xf>
    <xf borderId="42" fillId="31" fontId="1" numFmtId="165" xfId="0" applyAlignment="1" applyBorder="1" applyFont="1" applyNumberFormat="1">
      <alignment vertical="center"/>
    </xf>
    <xf borderId="30" fillId="4" fontId="2" numFmtId="166" xfId="0" applyAlignment="1" applyBorder="1" applyFont="1" applyNumberFormat="1">
      <alignment horizontal="right" readingOrder="0" vertical="center"/>
    </xf>
    <xf quotePrefix="1" borderId="18" fillId="0" fontId="1" numFmtId="0" xfId="0" applyAlignment="1" applyBorder="1" applyFont="1">
      <alignment vertical="center"/>
    </xf>
    <xf borderId="18" fillId="22" fontId="1" numFmtId="164" xfId="0" applyAlignment="1" applyBorder="1" applyFont="1" applyNumberFormat="1">
      <alignment horizontal="left" vertical="center"/>
    </xf>
    <xf borderId="18" fillId="22" fontId="1" numFmtId="0" xfId="0" applyAlignment="1" applyBorder="1" applyFont="1">
      <alignment vertical="center"/>
    </xf>
    <xf borderId="20" fillId="22" fontId="1" numFmtId="0" xfId="0" applyAlignment="1" applyBorder="1" applyFont="1">
      <alignment vertical="center"/>
    </xf>
    <xf borderId="17" fillId="0" fontId="1" numFmtId="0" xfId="0" applyAlignment="1" applyBorder="1" applyFont="1">
      <alignment horizontal="center" vertical="center"/>
    </xf>
    <xf borderId="19" fillId="0" fontId="1" numFmtId="166" xfId="0" applyAlignment="1" applyBorder="1" applyFont="1" applyNumberFormat="1">
      <alignment horizontal="right" readingOrder="0" shrinkToFit="0" vertical="center" wrapText="1"/>
    </xf>
    <xf borderId="19" fillId="0" fontId="1" numFmtId="166" xfId="0" applyAlignment="1" applyBorder="1" applyFont="1" applyNumberFormat="1">
      <alignment horizontal="right" shrinkToFit="0" vertical="center" wrapText="1"/>
    </xf>
    <xf borderId="20" fillId="0" fontId="2" numFmtId="0" xfId="0" applyAlignment="1" applyBorder="1" applyFont="1">
      <alignment horizontal="left" vertical="center"/>
    </xf>
    <xf borderId="17" fillId="0" fontId="2" numFmtId="0" xfId="0" applyAlignment="1" applyBorder="1" applyFont="1">
      <alignment horizontal="center" vertical="center"/>
    </xf>
    <xf borderId="13" fillId="0" fontId="2" numFmtId="164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horizontal="left" vertical="center"/>
    </xf>
    <xf borderId="14" fillId="0" fontId="1" numFmtId="164" xfId="0" applyAlignment="1" applyBorder="1" applyFont="1" applyNumberFormat="1">
      <alignment horizontal="left" vertical="center"/>
    </xf>
    <xf borderId="14" fillId="0" fontId="2" numFmtId="0" xfId="0" applyAlignment="1" applyBorder="1" applyFont="1">
      <alignment vertical="center"/>
    </xf>
    <xf borderId="16" fillId="0" fontId="2" numFmtId="0" xfId="0" applyAlignment="1" applyBorder="1" applyFont="1">
      <alignment vertical="center"/>
    </xf>
    <xf borderId="13" fillId="0" fontId="1" numFmtId="0" xfId="0" applyAlignment="1" applyBorder="1" applyFont="1">
      <alignment horizontal="center" vertical="center"/>
    </xf>
    <xf borderId="15" fillId="0" fontId="2" numFmtId="165" xfId="0" applyAlignment="1" applyBorder="1" applyFont="1" applyNumberFormat="1">
      <alignment vertical="center"/>
    </xf>
    <xf borderId="21" fillId="0" fontId="2" numFmtId="164" xfId="0" applyAlignment="1" applyBorder="1" applyFont="1" applyNumberFormat="1">
      <alignment vertical="center"/>
    </xf>
    <xf borderId="22" fillId="0" fontId="2" numFmtId="164" xfId="0" applyAlignment="1" applyBorder="1" applyFont="1" applyNumberFormat="1">
      <alignment vertical="center"/>
    </xf>
    <xf borderId="22" fillId="0" fontId="2" numFmtId="164" xfId="0" applyAlignment="1" applyBorder="1" applyFont="1" applyNumberFormat="1">
      <alignment horizontal="left" vertical="center"/>
    </xf>
    <xf borderId="21" fillId="0" fontId="2" numFmtId="0" xfId="0" applyAlignment="1" applyBorder="1" applyFont="1">
      <alignment horizontal="center" vertical="center"/>
    </xf>
    <xf borderId="34" fillId="0" fontId="2" numFmtId="166" xfId="0" applyAlignment="1" applyBorder="1" applyFont="1" applyNumberFormat="1">
      <alignment horizontal="right" readingOrder="0" shrinkToFit="0" vertical="center" wrapText="1"/>
    </xf>
    <xf borderId="34" fillId="4" fontId="2" numFmtId="166" xfId="0" applyAlignment="1" applyBorder="1" applyFont="1" applyNumberFormat="1">
      <alignment horizontal="right" readingOrder="0" shrinkToFit="0" vertical="center" wrapText="1"/>
    </xf>
    <xf borderId="13" fillId="0" fontId="1" numFmtId="164" xfId="0" applyAlignment="1" applyBorder="1" applyFont="1" applyNumberFormat="1">
      <alignment vertical="center"/>
    </xf>
    <xf borderId="14" fillId="0" fontId="1" numFmtId="164" xfId="0" applyAlignment="1" applyBorder="1" applyFont="1" applyNumberFormat="1">
      <alignment vertical="center"/>
    </xf>
    <xf borderId="14" fillId="22" fontId="1" numFmtId="164" xfId="0" applyAlignment="1" applyBorder="1" applyFont="1" applyNumberFormat="1">
      <alignment horizontal="left" vertical="center"/>
    </xf>
    <xf borderId="14" fillId="22" fontId="1" numFmtId="0" xfId="0" applyAlignment="1" applyBorder="1" applyFont="1">
      <alignment vertical="center"/>
    </xf>
    <xf borderId="16" fillId="22" fontId="1" numFmtId="0" xfId="0" applyAlignment="1" applyBorder="1" applyFont="1">
      <alignment vertical="center"/>
    </xf>
    <xf borderId="15" fillId="22" fontId="1" numFmtId="0" xfId="0" applyAlignment="1" applyBorder="1" applyFont="1">
      <alignment horizontal="center" shrinkToFit="0" vertical="center" wrapText="1"/>
    </xf>
    <xf borderId="15" fillId="22" fontId="1" numFmtId="166" xfId="0" applyAlignment="1" applyBorder="1" applyFont="1" applyNumberFormat="1">
      <alignment horizontal="right" shrinkToFit="0" vertical="center" wrapText="1"/>
    </xf>
    <xf borderId="15" fillId="22" fontId="1" numFmtId="165" xfId="0" applyAlignment="1" applyBorder="1" applyFont="1" applyNumberFormat="1">
      <alignment horizontal="right" shrinkToFit="0" vertical="center" wrapText="1"/>
    </xf>
    <xf borderId="15" fillId="0" fontId="1" numFmtId="165" xfId="0" applyAlignment="1" applyBorder="1" applyFont="1" applyNumberFormat="1">
      <alignment vertical="center"/>
    </xf>
    <xf borderId="30" fillId="0" fontId="1" numFmtId="164" xfId="0" applyAlignment="1" applyBorder="1" applyFont="1" applyNumberFormat="1">
      <alignment horizontal="left" vertical="center"/>
    </xf>
    <xf borderId="30" fillId="0" fontId="1" numFmtId="0" xfId="0" applyAlignment="1" applyBorder="1" applyFont="1">
      <alignment vertical="center"/>
    </xf>
    <xf borderId="31" fillId="0" fontId="1" numFmtId="0" xfId="0" applyAlignment="1" applyBorder="1" applyFont="1">
      <alignment vertical="center"/>
    </xf>
    <xf borderId="29" fillId="0" fontId="1" numFmtId="0" xfId="0" applyAlignment="1" applyBorder="1" applyFont="1">
      <alignment horizontal="center" vertical="center"/>
    </xf>
    <xf borderId="18" fillId="0" fontId="2" numFmtId="164" xfId="0" applyAlignment="1" applyBorder="1" applyFont="1" applyNumberFormat="1">
      <alignment horizontal="left" readingOrder="0" vertical="center"/>
    </xf>
    <xf borderId="18" fillId="22" fontId="2" numFmtId="0" xfId="0" applyAlignment="1" applyBorder="1" applyFont="1">
      <alignment vertical="center"/>
    </xf>
    <xf borderId="20" fillId="22" fontId="2" numFmtId="0" xfId="0" applyAlignment="1" applyBorder="1" applyFont="1">
      <alignment vertical="center"/>
    </xf>
    <xf borderId="17" fillId="22" fontId="2" numFmtId="0" xfId="0" applyAlignment="1" applyBorder="1" applyFont="1">
      <alignment horizontal="center" vertical="center"/>
    </xf>
    <xf borderId="18" fillId="25" fontId="1" numFmtId="164" xfId="0" applyAlignment="1" applyBorder="1" applyFont="1" applyNumberFormat="1">
      <alignment horizontal="left" vertical="center"/>
    </xf>
    <xf borderId="18" fillId="25" fontId="2" numFmtId="0" xfId="0" applyAlignment="1" applyBorder="1" applyFont="1">
      <alignment vertical="center"/>
    </xf>
    <xf borderId="20" fillId="25" fontId="2" numFmtId="0" xfId="0" applyAlignment="1" applyBorder="1" applyFont="1">
      <alignment vertical="center"/>
    </xf>
    <xf borderId="17" fillId="25" fontId="2" numFmtId="0" xfId="0" applyAlignment="1" applyBorder="1" applyFont="1">
      <alignment horizontal="center" vertical="center"/>
    </xf>
    <xf quotePrefix="1" borderId="20" fillId="0" fontId="2" numFmtId="0" xfId="0" applyAlignment="1" applyBorder="1" applyFont="1">
      <alignment vertical="center"/>
    </xf>
    <xf borderId="43" fillId="0" fontId="1" numFmtId="164" xfId="0" applyAlignment="1" applyBorder="1" applyFont="1" applyNumberFormat="1">
      <alignment vertical="center"/>
    </xf>
    <xf borderId="44" fillId="0" fontId="1" numFmtId="164" xfId="0" applyAlignment="1" applyBorder="1" applyFont="1" applyNumberFormat="1">
      <alignment vertical="center"/>
    </xf>
    <xf borderId="44" fillId="0" fontId="1" numFmtId="164" xfId="0" applyAlignment="1" applyBorder="1" applyFont="1" applyNumberFormat="1">
      <alignment horizontal="left" vertical="center"/>
    </xf>
    <xf borderId="44" fillId="0" fontId="2" numFmtId="0" xfId="0" applyAlignment="1" applyBorder="1" applyFont="1">
      <alignment vertical="center"/>
    </xf>
    <xf borderId="45" fillId="0" fontId="2" numFmtId="0" xfId="0" applyAlignment="1" applyBorder="1" applyFont="1">
      <alignment vertical="center"/>
    </xf>
    <xf borderId="43" fillId="0" fontId="2" numFmtId="0" xfId="0" applyAlignment="1" applyBorder="1" applyFont="1">
      <alignment horizontal="center" vertical="center"/>
    </xf>
    <xf borderId="46" fillId="2" fontId="2" numFmtId="166" xfId="0" applyAlignment="1" applyBorder="1" applyFont="1" applyNumberFormat="1">
      <alignment horizontal="right" shrinkToFit="0" vertical="center" wrapText="1"/>
    </xf>
    <xf borderId="46" fillId="4" fontId="2" numFmtId="166" xfId="0" applyAlignment="1" applyBorder="1" applyFont="1" applyNumberFormat="1">
      <alignment horizontal="right" shrinkToFit="0" vertical="center" wrapText="1"/>
    </xf>
    <xf borderId="46" fillId="0" fontId="2" numFmtId="165" xfId="0" applyAlignment="1" applyBorder="1" applyFont="1" applyNumberFormat="1">
      <alignment horizontal="right" shrinkToFit="0" vertical="center" wrapText="1"/>
    </xf>
    <xf borderId="46" fillId="0" fontId="2" numFmtId="165" xfId="0" applyAlignment="1" applyBorder="1" applyFont="1" applyNumberFormat="1">
      <alignment vertical="center"/>
    </xf>
    <xf borderId="47" fillId="7" fontId="2" numFmtId="0" xfId="0" applyAlignment="1" applyBorder="1" applyFont="1">
      <alignment horizontal="right" vertical="center"/>
    </xf>
    <xf quotePrefix="1" borderId="47" fillId="7" fontId="2" numFmtId="0" xfId="0" applyAlignment="1" applyBorder="1" applyFont="1">
      <alignment vertical="center"/>
    </xf>
    <xf borderId="47" fillId="7" fontId="2" numFmtId="0" xfId="0" applyAlignment="1" applyBorder="1" applyFont="1">
      <alignment vertical="center"/>
    </xf>
    <xf borderId="48" fillId="7" fontId="2" numFmtId="0" xfId="0" applyAlignment="1" applyBorder="1" applyFont="1">
      <alignment vertical="center"/>
    </xf>
    <xf borderId="46" fillId="2" fontId="2" numFmtId="0" xfId="0" applyAlignment="1" applyBorder="1" applyFont="1">
      <alignment horizontal="center" shrinkToFit="0" vertical="center" wrapText="1"/>
    </xf>
    <xf borderId="47" fillId="4" fontId="2" numFmtId="166" xfId="0" applyAlignment="1" applyBorder="1" applyFont="1" applyNumberFormat="1">
      <alignment horizontal="right" vertical="center"/>
    </xf>
    <xf borderId="17" fillId="0" fontId="2" numFmtId="0" xfId="0" applyAlignment="1" applyBorder="1" applyFont="1">
      <alignment horizontal="center" shrinkToFit="0" vertical="center" wrapText="1"/>
    </xf>
    <xf borderId="17" fillId="0" fontId="1" numFmtId="0" xfId="0" applyAlignment="1" applyBorder="1" applyFont="1">
      <alignment horizontal="center" readingOrder="0" shrinkToFit="0" vertical="center" wrapText="1"/>
    </xf>
    <xf borderId="30" fillId="31" fontId="1" numFmtId="0" xfId="0" applyAlignment="1" applyBorder="1" applyFont="1">
      <alignment readingOrder="0" vertical="center"/>
    </xf>
    <xf borderId="29" fillId="2" fontId="1" numFmtId="0" xfId="0" applyAlignment="1" applyBorder="1" applyFont="1">
      <alignment vertical="center"/>
    </xf>
    <xf borderId="19" fillId="2" fontId="2" numFmtId="165" xfId="0" applyAlignment="1" applyBorder="1" applyFont="1" applyNumberFormat="1">
      <alignment horizontal="center" readingOrder="0" vertical="center"/>
    </xf>
    <xf borderId="49" fillId="2" fontId="1" numFmtId="0" xfId="0" applyAlignment="1" applyBorder="1" applyFont="1">
      <alignment vertical="center"/>
    </xf>
    <xf borderId="47" fillId="2" fontId="1" numFmtId="164" xfId="0" applyAlignment="1" applyBorder="1" applyFont="1" applyNumberFormat="1">
      <alignment vertical="center"/>
    </xf>
    <xf borderId="47" fillId="2" fontId="1" numFmtId="0" xfId="0" applyAlignment="1" applyBorder="1" applyFont="1">
      <alignment vertical="center"/>
    </xf>
    <xf borderId="44" fillId="0" fontId="1" numFmtId="0" xfId="0" applyAlignment="1" applyBorder="1" applyFont="1">
      <alignment vertical="center"/>
    </xf>
    <xf borderId="46" fillId="0" fontId="2" numFmtId="0" xfId="0" applyAlignment="1" applyBorder="1" applyFont="1">
      <alignment horizontal="center" shrinkToFit="0" vertical="center" wrapText="1"/>
    </xf>
    <xf borderId="46" fillId="2" fontId="2" numFmtId="166" xfId="0" applyAlignment="1" applyBorder="1" applyFont="1" applyNumberFormat="1">
      <alignment horizontal="center" readingOrder="0" vertical="center"/>
    </xf>
    <xf borderId="46" fillId="2" fontId="2" numFmtId="165" xfId="0" applyAlignment="1" applyBorder="1" applyFont="1" applyNumberFormat="1">
      <alignment horizontal="center" vertical="center"/>
    </xf>
    <xf borderId="28" fillId="31" fontId="1" numFmtId="166" xfId="0" applyAlignment="1" applyBorder="1" applyFont="1" applyNumberFormat="1">
      <alignment horizontal="center" vertical="center"/>
    </xf>
    <xf borderId="17" fillId="2" fontId="3" numFmtId="164" xfId="0" applyAlignment="1" applyBorder="1" applyFont="1" applyNumberFormat="1">
      <alignment vertical="center"/>
    </xf>
    <xf borderId="18" fillId="2" fontId="3" numFmtId="164" xfId="0" applyAlignment="1" applyBorder="1" applyFont="1" applyNumberFormat="1">
      <alignment vertical="center"/>
    </xf>
    <xf borderId="18" fillId="2" fontId="3" numFmtId="164" xfId="0" applyAlignment="1" applyBorder="1" applyFont="1" applyNumberFormat="1">
      <alignment horizontal="left" vertical="center"/>
    </xf>
    <xf quotePrefix="1" borderId="18" fillId="2" fontId="19" numFmtId="0" xfId="0" applyAlignment="1" applyBorder="1" applyFont="1">
      <alignment vertical="center"/>
    </xf>
    <xf borderId="18" fillId="2" fontId="19" numFmtId="0" xfId="0" applyAlignment="1" applyBorder="1" applyFont="1">
      <alignment vertical="center"/>
    </xf>
    <xf borderId="20" fillId="2" fontId="19" numFmtId="0" xfId="0" applyAlignment="1" applyBorder="1" applyFont="1">
      <alignment vertical="center"/>
    </xf>
    <xf borderId="19" fillId="2" fontId="19" numFmtId="0" xfId="0" applyAlignment="1" applyBorder="1" applyFont="1">
      <alignment horizontal="center" shrinkToFit="0" vertical="center" wrapText="1"/>
    </xf>
    <xf borderId="19" fillId="2" fontId="19" numFmtId="166" xfId="0" applyAlignment="1" applyBorder="1" applyFont="1" applyNumberFormat="1">
      <alignment horizontal="right" shrinkToFit="0" vertical="center" wrapText="1"/>
    </xf>
    <xf borderId="19" fillId="2" fontId="19" numFmtId="165" xfId="0" applyAlignment="1" applyBorder="1" applyFont="1" applyNumberFormat="1">
      <alignment horizontal="right" shrinkToFit="0" vertical="center" wrapText="1"/>
    </xf>
    <xf borderId="19" fillId="2" fontId="19" numFmtId="165" xfId="0" applyAlignment="1" applyBorder="1" applyFont="1" applyNumberFormat="1">
      <alignment vertical="center"/>
    </xf>
    <xf quotePrefix="1" borderId="20" fillId="0" fontId="2" numFmtId="0" xfId="0" applyAlignment="1" applyBorder="1" applyFont="1">
      <alignment horizontal="left" readingOrder="0" vertical="center"/>
    </xf>
    <xf borderId="29" fillId="10" fontId="1" numFmtId="0" xfId="0" applyAlignment="1" applyBorder="1" applyFont="1">
      <alignment readingOrder="0" vertical="center"/>
    </xf>
    <xf borderId="30" fillId="10" fontId="1" numFmtId="0" xfId="0" applyAlignment="1" applyBorder="1" applyFont="1">
      <alignment vertical="center"/>
    </xf>
    <xf borderId="31" fillId="10" fontId="1" numFmtId="0" xfId="0" applyAlignment="1" applyBorder="1" applyFont="1">
      <alignment vertical="center"/>
    </xf>
    <xf borderId="19" fillId="10" fontId="1" numFmtId="0" xfId="0" applyAlignment="1" applyBorder="1" applyFont="1">
      <alignment horizontal="left" vertical="center"/>
    </xf>
    <xf borderId="19" fillId="10" fontId="1" numFmtId="166" xfId="0" applyAlignment="1" applyBorder="1" applyFont="1" applyNumberFormat="1">
      <alignment horizontal="left" vertical="center"/>
    </xf>
    <xf borderId="19" fillId="10" fontId="1" numFmtId="165" xfId="0" applyAlignment="1" applyBorder="1" applyFont="1" applyNumberFormat="1">
      <alignment horizontal="left" vertical="center"/>
    </xf>
    <xf borderId="19" fillId="10" fontId="2" numFmtId="165" xfId="0" applyAlignment="1" applyBorder="1" applyFont="1" applyNumberFormat="1">
      <alignment vertical="center"/>
    </xf>
    <xf borderId="30" fillId="2" fontId="2" numFmtId="0" xfId="0" applyAlignment="1" applyBorder="1" applyFont="1">
      <alignment readingOrder="0" vertical="center"/>
    </xf>
    <xf borderId="19" fillId="2" fontId="2" numFmtId="0" xfId="0" applyAlignment="1" applyBorder="1" applyFont="1">
      <alignment horizontal="center" vertical="center"/>
    </xf>
    <xf borderId="47" fillId="2" fontId="2" numFmtId="0" xfId="0" applyAlignment="1" applyBorder="1" applyFont="1">
      <alignment vertical="center"/>
    </xf>
    <xf borderId="48" fillId="2" fontId="2" numFmtId="0" xfId="0" applyAlignment="1" applyBorder="1" applyFont="1">
      <alignment vertical="center"/>
    </xf>
    <xf borderId="46" fillId="2" fontId="2" numFmtId="0" xfId="0" applyAlignment="1" applyBorder="1" applyFont="1">
      <alignment horizontal="center" vertical="center"/>
    </xf>
    <xf borderId="46" fillId="2" fontId="2" numFmtId="166" xfId="0" applyAlignment="1" applyBorder="1" applyFont="1" applyNumberFormat="1">
      <alignment horizontal="center" vertical="center"/>
    </xf>
    <xf borderId="46" fillId="2" fontId="2" numFmtId="165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11" numFmtId="0" xfId="0" applyAlignment="1" applyFont="1">
      <alignment horizontal="left" vertical="center"/>
    </xf>
    <xf borderId="0" fillId="0" fontId="2" numFmtId="0" xfId="0" applyAlignment="1" applyFont="1">
      <alignment horizontal="left" vertical="center"/>
    </xf>
    <xf borderId="0" fillId="0" fontId="2" numFmtId="0" xfId="0" applyAlignment="1" applyFont="1">
      <alignment horizontal="center" vertical="center"/>
    </xf>
    <xf borderId="0" fillId="0" fontId="2" numFmtId="165" xfId="0" applyAlignment="1" applyFont="1" applyNumberFormat="1">
      <alignment horizontal="center" vertical="center"/>
    </xf>
    <xf borderId="0" fillId="0" fontId="2" numFmtId="168" xfId="0" applyAlignment="1" applyFont="1" applyNumberFormat="1">
      <alignment horizontal="center" vertical="center"/>
    </xf>
    <xf borderId="0" fillId="0" fontId="2" numFmtId="165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schemas.openxmlformats.org/officeDocument/2006/relationships/worksheet" Target="worksheets/sheet2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>L9+L10</f>
        <v>93862948</v>
      </c>
      <c r="M8" s="41">
        <f>M9+M10</f>
        <v>30139952</v>
      </c>
      <c r="N8" s="41">
        <f>N9+N10</f>
        <v>24635300.36</v>
      </c>
      <c r="O8" s="40">
        <f>IF(L8&gt;0,N8*100/L8,0)</f>
        <v>26.24603305</v>
      </c>
      <c r="P8" s="40">
        <f t="shared" ref="P8:P16" si="1">IF(M8&gt;0,N8*100/M8,0)</f>
        <v>81.73636228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>L11+L15</f>
        <v>0</v>
      </c>
      <c r="M9" s="48">
        <f>M11+M15</f>
        <v>0</v>
      </c>
      <c r="N9" s="48">
        <f>N11+N15</f>
        <v>0</v>
      </c>
      <c r="O9" s="47">
        <f>IF(L9&gt;0,N9*100/L9,0)</f>
        <v>0</v>
      </c>
      <c r="P9" s="47">
        <f t="shared" si="1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>L12+L16</f>
        <v>93862948</v>
      </c>
      <c r="M10" s="48">
        <f>M12+M16</f>
        <v>30139952</v>
      </c>
      <c r="N10" s="48">
        <f>N12+N16</f>
        <v>24635300.36</v>
      </c>
      <c r="O10" s="47">
        <f>IF(L10&gt;0,N10*100/L10,0)</f>
        <v>26.24603305</v>
      </c>
      <c r="P10" s="47">
        <f t="shared" si="1"/>
        <v>81.73636228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>L21+L31</f>
        <v>0</v>
      </c>
      <c r="M11" s="58">
        <f>M21+M31</f>
        <v>0</v>
      </c>
      <c r="N11" s="58">
        <f>N21+N31</f>
        <v>0</v>
      </c>
      <c r="O11" s="58">
        <f>IF(L11&gt;0,N11*100/L11,0)</f>
        <v>0</v>
      </c>
      <c r="P11" s="58">
        <f t="shared" si="1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>L22+L32</f>
        <v>83033048</v>
      </c>
      <c r="M12" s="58">
        <f>M22+M32</f>
        <v>30139952</v>
      </c>
      <c r="N12" s="58">
        <f>N22+N32</f>
        <v>20483250.36</v>
      </c>
      <c r="O12" s="58">
        <f>IF(L12&gt;0,N12*100/L12,0)</f>
        <v>24.66879255</v>
      </c>
      <c r="P12" s="58">
        <f t="shared" si="1"/>
        <v>67.96046111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>L23+L33</f>
        <v>36670500</v>
      </c>
      <c r="M13" s="58">
        <f>M23+M33</f>
        <v>0</v>
      </c>
      <c r="N13" s="58">
        <f>N23+N33</f>
        <v>0</v>
      </c>
      <c r="O13" s="61">
        <f>IF(L13&gt;0,N13*100/L13,0)</f>
        <v>0</v>
      </c>
      <c r="P13" s="61">
        <f t="shared" si="1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>L24+L34</f>
        <v>46362548</v>
      </c>
      <c r="M14" s="58">
        <f>M24+M34</f>
        <v>0</v>
      </c>
      <c r="N14" s="58">
        <f>N24+N34</f>
        <v>3312130.357</v>
      </c>
      <c r="O14" s="61">
        <f>IF(L14&gt;0,N14*100/L14,0)</f>
        <v>7.143978275</v>
      </c>
      <c r="P14" s="61">
        <f t="shared" si="1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>L25+L35</f>
        <v>0</v>
      </c>
      <c r="M15" s="58">
        <f>M25+M35</f>
        <v>0</v>
      </c>
      <c r="N15" s="58">
        <f>N25+N35</f>
        <v>0</v>
      </c>
      <c r="O15" s="62">
        <f>IF(L15&gt;0,N15*100/L15,0)</f>
        <v>0</v>
      </c>
      <c r="P15" s="62">
        <f t="shared" si="1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>L26+L36</f>
        <v>10829900</v>
      </c>
      <c r="M16" s="58">
        <f>M26+M36</f>
        <v>0</v>
      </c>
      <c r="N16" s="58">
        <f>N26+N36</f>
        <v>4152050</v>
      </c>
      <c r="O16" s="70">
        <f>IF(L16&gt;0,N16*100/L16,0)</f>
        <v>38.33876582</v>
      </c>
      <c r="P16" s="70">
        <f t="shared" si="1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>L19+L20</f>
        <v>66311230</v>
      </c>
      <c r="M18" s="41">
        <f>M19+M20</f>
        <v>30139952</v>
      </c>
      <c r="N18" s="41">
        <f>N19+N20</f>
        <v>21323170</v>
      </c>
      <c r="O18" s="40">
        <f>IF(L18&gt;0,N18*100/L18,0)</f>
        <v>32.15619737</v>
      </c>
      <c r="P18" s="40">
        <f t="shared" ref="P18:P26" si="2">IF(M18&gt;0,N18*100/M18,0)</f>
        <v>70.74719296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>L21+L25</f>
        <v>0</v>
      </c>
      <c r="M19" s="48">
        <f>M21+M25</f>
        <v>0</v>
      </c>
      <c r="N19" s="48">
        <f>N21+N25</f>
        <v>0</v>
      </c>
      <c r="O19" s="47">
        <f>IF(L19&gt;0,N19*100/L19,0)</f>
        <v>0</v>
      </c>
      <c r="P19" s="47">
        <f t="shared" si="2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>L22+L26</f>
        <v>66311230</v>
      </c>
      <c r="M20" s="48">
        <f>M22+M26</f>
        <v>30139952</v>
      </c>
      <c r="N20" s="48">
        <f>N22+N26</f>
        <v>21323170</v>
      </c>
      <c r="O20" s="47">
        <f>IF(L20&gt;0,N20*100/L20,0)</f>
        <v>32.15619737</v>
      </c>
      <c r="P20" s="47">
        <f t="shared" si="2"/>
        <v>70.74719296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>L44+L56+L69+L97+L121+L143+L223+L253+L274+L293+L313+L332</f>
        <v>0</v>
      </c>
      <c r="M21" s="62">
        <f>M44+M56+M69+M97+M121+M143+M223+M253+M274+M293+M313+M332</f>
        <v>0</v>
      </c>
      <c r="N21" s="61">
        <f>N44+N56+N69+N97+N121+N143+N223+N253+N274+N293+N313+N332</f>
        <v>0</v>
      </c>
      <c r="O21" s="61">
        <f>IF(L21&gt;0,N21*100/L21,0)</f>
        <v>0</v>
      </c>
      <c r="P21" s="61">
        <f t="shared" si="2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>L45+L57+L70+L98+L122+L144+L224+L254+L275+L294+L314+L333</f>
        <v>55481330</v>
      </c>
      <c r="M22" s="62">
        <f>M45+M57+M70+M98+M122+M144+M224+M254+M275+M294+M314+M333</f>
        <v>30139952</v>
      </c>
      <c r="N22" s="61">
        <f>N45+N57+N70+N98+N122+N144+N224+N254+N275+N294+N314+N333</f>
        <v>17171120</v>
      </c>
      <c r="O22" s="61">
        <f>IF(L22&gt;0,N22*100/L22,0)</f>
        <v>30.94936621</v>
      </c>
      <c r="P22" s="61">
        <f t="shared" si="2"/>
        <v>56.97129179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>L46+L58+L71+L99+L123+L145+L225+L255+L276+L295+L315+L334</f>
        <v>36670500</v>
      </c>
      <c r="M23" s="62">
        <f>M46+M58+M71+M99+M123+M145+M225+M255+M276+M295+M315+M334</f>
        <v>0</v>
      </c>
      <c r="N23" s="61">
        <f>N46+N58+N71+N99+N123+N145+N225+N255+N276+N295+N315+N334</f>
        <v>0</v>
      </c>
      <c r="O23" s="61">
        <f>IF(L23&gt;0,N23*100/L23,0)</f>
        <v>0</v>
      </c>
      <c r="P23" s="61">
        <f t="shared" si="2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>L47+L59+L72+L100+L124+L146+L226+L256+L277+L296+L316+L335</f>
        <v>18810830</v>
      </c>
      <c r="M24" s="62">
        <f>M47+M59+M72+M100+M124+M146+M226+M256+M277+M296+M316+M335</f>
        <v>0</v>
      </c>
      <c r="N24" s="61">
        <f>N47+N59+N72+N100+N124+N146+N226+N256+N277+N296+N316+N335</f>
        <v>0</v>
      </c>
      <c r="O24" s="61">
        <f>IF(L24&gt;0,N24*100/L24,0)</f>
        <v>0</v>
      </c>
      <c r="P24" s="61">
        <f t="shared" si="2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>L48+L60+L73+L101+L125+L147+L227+L257+L278+L297+L317+L336</f>
        <v>0</v>
      </c>
      <c r="M25" s="62">
        <f>M48+M60+M73+M101+M125+M147+M227+M257+M278+M297+M317+M336</f>
        <v>0</v>
      </c>
      <c r="N25" s="62">
        <f>N48+N60+N73+N101+N125+N147+N227+N257+N278+N297+N317+N336</f>
        <v>0</v>
      </c>
      <c r="O25" s="62">
        <f>IF(L25&gt;0,N25*100/L25,0)</f>
        <v>0</v>
      </c>
      <c r="P25" s="62">
        <f t="shared" si="2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>L49+L61+L74+L102+L126+L148+L228+L258+L279+L298+L318+L337</f>
        <v>10829900</v>
      </c>
      <c r="M26" s="70">
        <f>M49+M61+M74+M102+M126+M148+M228+M258+M279+M298+M318+M337</f>
        <v>0</v>
      </c>
      <c r="N26" s="70">
        <f>N49+N61+N74+N102+N126+N148+N228+N258+N279+N298+N318+N337</f>
        <v>4152050</v>
      </c>
      <c r="O26" s="70">
        <f>IF(L26&gt;0,N26*100/L26,0)</f>
        <v>38.33876582</v>
      </c>
      <c r="P26" s="70">
        <f t="shared" si="2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>L29+L30</f>
        <v>27551718</v>
      </c>
      <c r="M28" s="41">
        <f>M29+M30</f>
        <v>0</v>
      </c>
      <c r="N28" s="41">
        <f>N29+N30</f>
        <v>3312130.357</v>
      </c>
      <c r="O28" s="40">
        <f t="shared" ref="O28:O30" si="3">IF(L28&gt;0,N28*100/L28,0)</f>
        <v>12.0215021</v>
      </c>
      <c r="P28" s="40">
        <f t="shared" ref="P28:P37" si="4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>L31+L35</f>
        <v>0</v>
      </c>
      <c r="M29" s="48">
        <f>M31+M35</f>
        <v>0</v>
      </c>
      <c r="N29" s="48">
        <f>N31+N35</f>
        <v>0</v>
      </c>
      <c r="O29" s="47">
        <f t="shared" si="3"/>
        <v>0</v>
      </c>
      <c r="P29" s="47">
        <f t="shared" si="4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>L32+L36</f>
        <v>27551718</v>
      </c>
      <c r="M30" s="48">
        <f>M32+M36</f>
        <v>0</v>
      </c>
      <c r="N30" s="48">
        <f>N32+N36</f>
        <v>3312130.357</v>
      </c>
      <c r="O30" s="47">
        <f t="shared" si="3"/>
        <v>12.0215021</v>
      </c>
      <c r="P30" s="47">
        <f t="shared" si="4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>L351+L382+L403+L436+L456+L534+L552+L565+L581+L598</f>
        <v>0</v>
      </c>
      <c r="M31" s="61">
        <f>M351+M382+M403+M436+M456+M534+M552+M565+M581+M598</f>
        <v>0</v>
      </c>
      <c r="N31" s="61">
        <f>N351+N382+N403+N436+N456+N534+N552+N565+N581+N598</f>
        <v>0</v>
      </c>
      <c r="O31" s="61">
        <f t="shared" ref="O31:O37" si="5">IF(L31&gt;0,N31*100/L31,0)</f>
        <v>0</v>
      </c>
      <c r="P31" s="61">
        <f t="shared" si="4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>L352+L383+L404+L437+L457+L535+L553+L566+L582+L599</f>
        <v>27551718</v>
      </c>
      <c r="M32" s="61">
        <f>M352+M383+M404+M437+M457+M535+M553+M566+M582+M599</f>
        <v>0</v>
      </c>
      <c r="N32" s="61">
        <f>N352+N383+N404+N437+N457+N535+N553+N566+N582+N599</f>
        <v>3312130.357</v>
      </c>
      <c r="O32" s="61">
        <f t="shared" si="5"/>
        <v>12.0215021</v>
      </c>
      <c r="P32" s="61">
        <f t="shared" si="4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>L353+L384+L405+L438+L458+L536+L554+L567+L583+L600</f>
        <v>0</v>
      </c>
      <c r="M33" s="61">
        <f>M353+M384+M405+M438+M458+M536+M554+M567+M583+M600</f>
        <v>0</v>
      </c>
      <c r="N33" s="61">
        <f>N353+N384+N405+N438+N458+N536+N554+N567+N583+N600</f>
        <v>0</v>
      </c>
      <c r="O33" s="61">
        <f t="shared" si="5"/>
        <v>0</v>
      </c>
      <c r="P33" s="61">
        <f t="shared" si="4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>L354+L385+L406+L439+L459+L537+L555+L568+L584+L601</f>
        <v>27551718</v>
      </c>
      <c r="M34" s="61">
        <f>M354+M385+M406+M439+M459+M537+M555+M568+M584+M601</f>
        <v>0</v>
      </c>
      <c r="N34" s="61">
        <f>N354+N385+N406+N439+N459+N537+N555+N568+N584+N601</f>
        <v>3312130.357</v>
      </c>
      <c r="O34" s="61">
        <f t="shared" si="5"/>
        <v>12.0215021</v>
      </c>
      <c r="P34" s="61">
        <f t="shared" si="4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5"/>
        <v>0</v>
      </c>
      <c r="P35" s="62">
        <f t="shared" si="4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5"/>
        <v>0</v>
      </c>
      <c r="P36" s="70">
        <f t="shared" si="4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6">L41+L53+L66+L94+L118+L140+L220+L250+L271+L290+L310+L329</f>
        <v>66311230</v>
      </c>
      <c r="M37" s="75">
        <f t="shared" si="6"/>
        <v>30139952</v>
      </c>
      <c r="N37" s="75">
        <f t="shared" si="6"/>
        <v>21323170</v>
      </c>
      <c r="O37" s="76">
        <f t="shared" si="5"/>
        <v>32.15619737</v>
      </c>
      <c r="P37" s="76">
        <f t="shared" si="4"/>
        <v>70.74719296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>L42+L43</f>
        <v>16328300</v>
      </c>
      <c r="M41" s="102">
        <f>M42+M43</f>
        <v>7084700</v>
      </c>
      <c r="N41" s="102">
        <f>N42+N43</f>
        <v>6644543</v>
      </c>
      <c r="O41" s="101">
        <f t="shared" ref="O41:O43" si="7">IF(L41&gt;0,N41*100/L41,0)</f>
        <v>40.69341573</v>
      </c>
      <c r="P41" s="101">
        <f t="shared" ref="P41:P43" si="8">IF(M41&gt;0,N41*100/M41,0)</f>
        <v>93.78721753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>L44+L48</f>
        <v>0</v>
      </c>
      <c r="M42" s="102">
        <f>M44+M48</f>
        <v>0</v>
      </c>
      <c r="N42" s="102">
        <f>N44+N48</f>
        <v>0</v>
      </c>
      <c r="O42" s="101">
        <f t="shared" si="7"/>
        <v>0</v>
      </c>
      <c r="P42" s="101">
        <f t="shared" si="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>L45+L49</f>
        <v>16328300</v>
      </c>
      <c r="M43" s="102">
        <f>M45+M49</f>
        <v>7084700</v>
      </c>
      <c r="N43" s="102">
        <f>N45+N49</f>
        <v>6644543</v>
      </c>
      <c r="O43" s="101">
        <f t="shared" si="7"/>
        <v>40.69341573</v>
      </c>
      <c r="P43" s="101">
        <f t="shared" si="8"/>
        <v>93.78721753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f>'กาญจนบุรี'!L44+'จันทบุรี'!L44+'ฉะเชิงเทรา'!L44+'ชลบุรี'!L44+'ชัยนาท'!L44+'ตราด'!L44+'นครนายก'!L44+'นครปฐม'!L44+'ปทุมธานี'!L44+'ประจวบคีรีขันธ์'!L44+'ปราจีนบุรี'!L44+'พระนครศรีอยุธยา'!L44+'เพชรบุรี'!L44+'ระยอง'!L44+'ราชบุรี'!L44+'ลพบุรี'!L44+'สระแก้ว'!L44+'สระบุรี'!L44+'สิงห์บุรี'!L44+'สุพรรณบุรี'!L44+'อ่างทอง'!L44</f>
        <v>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'กาญจนบุรี'!L45+'จันทบุรี'!L45+'ฉะเชิงเทรา'!L45+'ชลบุรี'!L45+'ชัยนาท'!L45+'ตราด'!L45+'นครนายก'!L45+'นครปฐม'!L45+'ปทุมธานี'!L45+'ประจวบคีรีขันธ์'!L45+'ปราจีนบุรี'!L45+'พระนครศรีอยุธยา'!L45+'เพชรบุรี'!L45+'ระยอง'!L45+'ราชบุรี'!L45+'ลพบุรี'!L45+'สระแก้ว'!L45+'สระบุรี'!L45+'สิงห์บุรี'!L45+'สุพรรณบุรี'!L45+'อ่างทอง'!L45</f>
        <v>13863700</v>
      </c>
      <c r="M45" s="115">
        <f>'กาญจนบุรี'!M45+'จันทบุรี'!M45+'ฉะเชิงเทรา'!M45+'ชลบุรี'!M45+'ชัยนาท'!M45+'ตราด'!M45+'นครนายก'!M45+'นครปฐม'!M45+'ปทุมธานี'!M45+'ประจวบคีรีขันธ์'!M45+'ปราจีนบุรี'!M45+'พระนครศรีอยุธยา'!M45+'เพชรบุรี'!M45+'ระยอง'!M45+'ราชบุรี'!M45+'ลพบุรี'!M45+'สระแก้ว'!M45+'สระบุรี'!M45+'สิงห์บุรี'!M45+'สุพรรณบุรี'!M45+'อ่างทอง'!M45</f>
        <v>7084700</v>
      </c>
      <c r="N45" s="115">
        <f>'กาญจนบุรี'!N45+'จันทบุรี'!N45+'ฉะเชิงเทรา'!N45+'ชลบุรี'!N45+'ชัยนาท'!N45+'ตราด'!N45+'นครนายก'!N45+'นครปฐม'!N45+'ปทุมธานี'!N45+'ประจวบคีรีขันธ์'!N45+'ปราจีนบุรี'!N45+'พระนครศรีอยุธยา'!N45+'เพชรบุรี'!N45+'ระยอง'!N45+'ราชบุรี'!N45+'ลพบุรี'!N45+'สระแก้ว'!N45+'สระบุรี'!N45+'สิงห์บุรี'!N45+'สุพรรณบุรี'!N45+'อ่างทอง'!N45</f>
        <v>5268943</v>
      </c>
      <c r="O45" s="116">
        <f>IF(L45&gt;0,N45*100/L45,0)</f>
        <v>38.00531604</v>
      </c>
      <c r="P45" s="116">
        <f>IF(M45&gt;0,N45*100/M45,0)</f>
        <v>74.37072847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'กาญจนบุรี'!L46+'จันทบุรี'!L46+'ฉะเชิงเทรา'!L46+'ชลบุรี'!L46+'ชัยนาท'!L46+'ตราด'!L46+'นครนายก'!L46+'นครปฐม'!L46+'ปทุมธานี'!L46+'ประจวบคีรีขันธ์'!L46+'ปราจีนบุรี'!L46+'พระนครศรีอยุธยา'!L46+'เพชรบุรี'!L46+'ระยอง'!L46+'ราชบุรี'!L46+'ลพบุรี'!L46+'สระแก้ว'!L46+'สระบุรี'!L46+'สิงห์บุรี'!L46+'สุพรรณบุรี'!L46+'อ่างทอง'!L46</f>
        <v>13863700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'กาญจนบุรี'!L47+'จันทบุรี'!L47+'ฉะเชิงเทรา'!L47+'ชลบุรี'!L47+'ชัยนาท'!L47+'ตราด'!L47+'นครนายก'!L47+'นครปฐม'!L47+'ปทุมธานี'!L47+'ประจวบคีรีขันธ์'!L47+'ปราจีนบุรี'!L47+'พระนครศรีอยุธยา'!L47+'เพชรบุรี'!L47+'ระยอง'!L47+'ราชบุรี'!L47+'ลพบุรี'!L47+'สระแก้ว'!L47+'สระบุรี'!L47+'สิงห์บุรี'!L47+'สุพรรณบุรี'!L47+'อ่างทอง'!L47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f>'กาญจนบุรี'!L48+'จันทบุรี'!L48+'ฉะเชิงเทรา'!L48+'ชลบุรี'!L48+'ชัยนาท'!L48+'ตราด'!L48+'นครนายก'!L48+'นครปฐม'!L48+'ปทุมธานี'!L48+'ประจวบคีรีขันธ์'!L48+'ปราจีนบุรี'!L48+'พระนครศรีอยุธยา'!L48+'เพชรบุรี'!L48+'ระยอง'!L48+'ราชบุรี'!L48+'ลพบุรี'!L48+'สระแก้ว'!L48+'สระบุรี'!L48+'สิงห์บุรี'!L48+'สุพรรณบุรี'!L48+'อ่างทอง'!L48</f>
        <v>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'กาญจนบุรี'!L49+'จันทบุรี'!L49+'ฉะเชิงเทรา'!L49+'ชลบุรี'!L49+'ชัยนาท'!L49+'ตราด'!L49+'นครนายก'!L49+'นครปฐม'!L49+'ปทุมธานี'!L49+'ประจวบคีรีขันธ์'!L49+'ปราจีนบุรี'!L49+'พระนครศรีอยุธยา'!L49+'เพชรบุรี'!L49+'ระยอง'!L49+'ราชบุรี'!L49+'ลพบุรี'!L49+'สระแก้ว'!L49+'สระบุรี'!L49+'สิงห์บุรี'!L49+'สุพรรณบุรี'!L49+'อ่างทอง'!L49</f>
        <v>2464600</v>
      </c>
      <c r="M49" s="125"/>
      <c r="N49" s="115">
        <f>'กาญจนบุรี'!N49+'จันทบุรี'!N49+'ฉะเชิงเทรา'!N49+'ชลบุรี'!N49+'ชัยนาท'!N49+'ตราด'!N49+'นครนายก'!N49+'นครปฐม'!N49+'ปทุมธานี'!N49+'ประจวบคีรีขันธ์'!N49+'ปราจีนบุรี'!N49+'พระนครศรีอยุธยา'!N49+'เพชรบุรี'!N49+'ระยอง'!N49+'ราชบุรี'!N49+'ลพบุรี'!N49+'สระแก้ว'!N49+'สระบุรี'!N49+'สิงห์บุรี'!N49+'สุพรรณบุรี'!N49+'อ่างทอง'!N49</f>
        <v>1375600</v>
      </c>
      <c r="O49" s="125">
        <f>IF(L49&gt;0,N49*100/L49,0)</f>
        <v>55.81433093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9">L54+L55</f>
        <v>8065800</v>
      </c>
      <c r="M53" s="151">
        <f t="shared" si="9"/>
        <v>4445992</v>
      </c>
      <c r="N53" s="151">
        <f t="shared" si="9"/>
        <v>2812671</v>
      </c>
      <c r="O53" s="150">
        <f t="shared" ref="O53:O55" si="11">IF(L53&gt;0,N53*100/L53,0)</f>
        <v>34.87156885</v>
      </c>
      <c r="P53" s="150">
        <f t="shared" ref="P53:P55" si="12">IF(M53&gt;0,N53*100/M53,0)</f>
        <v>63.2630693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10">L56+L60</f>
        <v>0</v>
      </c>
      <c r="M54" s="151">
        <f t="shared" si="10"/>
        <v>0</v>
      </c>
      <c r="N54" s="151">
        <f t="shared" si="10"/>
        <v>0</v>
      </c>
      <c r="O54" s="150">
        <f t="shared" si="11"/>
        <v>0</v>
      </c>
      <c r="P54" s="150">
        <f t="shared" si="12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13">L57+L61</f>
        <v>8065800</v>
      </c>
      <c r="M55" s="151">
        <f t="shared" si="13"/>
        <v>4445992</v>
      </c>
      <c r="N55" s="151">
        <f t="shared" si="13"/>
        <v>2812671</v>
      </c>
      <c r="O55" s="150">
        <f t="shared" si="11"/>
        <v>34.87156885</v>
      </c>
      <c r="P55" s="150">
        <f t="shared" si="12"/>
        <v>63.2630693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f>'กาญจนบุรี'!L56+'จันทบุรี'!L56+'ฉะเชิงเทรา'!L56+'ชลบุรี'!L56+'ชัยนาท'!L56+'ตราด'!L56+'นครนายก'!L56+'นครปฐม'!L56+'ปทุมธานี'!L56+'ประจวบคีรีขันธ์'!L56+'ปราจีนบุรี'!L56+'พระนครศรีอยุธยา'!L56+'เพชรบุรี'!L56+'ระยอง'!L56+'ราชบุรี'!L56+'ลพบุรี'!L56+'สระแก้ว'!L56+'สระบุรี'!L56+'สิงห์บุรี'!L56+'สุพรรณบุรี'!L56+'อ่างทอง'!L56</f>
        <v>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'กาญจนบุรี'!L57+'จันทบุรี'!L57+'ฉะเชิงเทรา'!L57+'ชลบุรี'!L57+'ชัยนาท'!L57+'ตราด'!L57+'นครนายก'!L57+'นครปฐม'!L57+'ปทุมธานี'!L57+'ประจวบคีรีขันธ์'!L57+'ปราจีนบุรี'!L57+'พระนครศรีอยุธยา'!L57+'เพชรบุรี'!L57+'ระยอง'!L57+'ราชบุรี'!L57+'ลพบุรี'!L57+'สระแก้ว'!L57+'สระบุรี'!L57+'สิงห์บุรี'!L57+'สุพรรณบุรี'!L57+'อ่างทอง'!L57</f>
        <v>8065800</v>
      </c>
      <c r="M57" s="115">
        <f>'กาญจนบุรี'!M57+'จันทบุรี'!M57+'ฉะเชิงเทรา'!M57+'ชลบุรี'!M57+'ชัยนาท'!M57+'ตราด'!M57+'นครนายก'!M57+'นครปฐม'!M57+'ปทุมธานี'!M57+'ประจวบคีรีขันธ์'!M57+'ปราจีนบุรี'!M57+'พระนครศรีอยุธยา'!M57+'เพชรบุรี'!M57+'ระยอง'!M57+'ราชบุรี'!M57+'ลพบุรี'!M57+'สระแก้ว'!M57+'สระบุรี'!M57+'สิงห์บุรี'!M57+'สุพรรณบุรี'!M57+'อ่างทอง'!M57</f>
        <v>4445992</v>
      </c>
      <c r="N57" s="115">
        <f>'กาญจนบุรี'!N57+'จันทบุรี'!N57+'ฉะเชิงเทรา'!N57+'ชลบุรี'!N57+'ชัยนาท'!N57+'ตราด'!N57+'นครนายก'!N57+'นครปฐม'!N57+'ปทุมธานี'!N57+'ประจวบคีรีขันธ์'!N57+'ปราจีนบุรี'!N57+'พระนครศรีอยุธยา'!N57+'เพชรบุรี'!N57+'ระยอง'!N57+'ราชบุรี'!N57+'ลพบุรี'!N57+'สระแก้ว'!N57+'สระบุรี'!N57+'สิงห์บุรี'!N57+'สุพรรณบุรี'!N57+'อ่างทอง'!N57</f>
        <v>2812671</v>
      </c>
      <c r="O57" s="116">
        <f>IF(L57&gt;0,N57*100/L57,0)</f>
        <v>34.87156885</v>
      </c>
      <c r="P57" s="116">
        <f>IF(M57&gt;0,N57*100/M57,0)</f>
        <v>63.2630693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'กาญจนบุรี'!L58+'จันทบุรี'!L58+'ฉะเชิงเทรา'!L58+'ชลบุรี'!L58+'ชัยนาท'!L58+'ตราด'!L58+'นครนายก'!L58+'นครปฐม'!L58+'ปทุมธานี'!L58+'ประจวบคีรีขันธ์'!L58+'ปราจีนบุรี'!L58+'พระนครศรีอยุธยา'!L58+'เพชรบุรี'!L58+'ระยอง'!L58+'ราชบุรี'!L58+'ลพบุรี'!L58+'สระแก้ว'!L58+'สระบุรี'!L58+'สิงห์บุรี'!L58+'สุพรรณบุรี'!L58+'อ่างทอง'!L58</f>
        <v>8065800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'กาญจนบุรี'!L59+'จันทบุรี'!L59+'ฉะเชิงเทรา'!L59+'ชลบุรี'!L59+'ชัยนาท'!L59+'ตราด'!L59+'นครนายก'!L59+'นครปฐม'!L59+'ปทุมธานี'!L59+'ประจวบคีรีขันธ์'!L59+'ปราจีนบุรี'!L59+'พระนครศรีอยุธยา'!L59+'เพชรบุรี'!L59+'ระยอง'!L59+'ราชบุรี'!L59+'ลพบุรี'!L59+'สระแก้ว'!L59+'สระบุรี'!L59+'สิงห์บุรี'!L59+'สุพรรณบุรี'!L59+'อ่างทอง'!L59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f>'กาญจนบุรี'!L60+'จันทบุรี'!L60+'ฉะเชิงเทรา'!L60+'ชลบุรี'!L60+'ชัยนาท'!L60+'ตราด'!L60+'นครนายก'!L60+'นครปฐม'!L60+'ปทุมธานี'!L60+'ประจวบคีรีขันธ์'!L60+'ปราจีนบุรี'!L60+'พระนครศรีอยุธยา'!L60+'เพชรบุรี'!L60+'ระยอง'!L60+'ราชบุรี'!L60+'ลพบุรี'!L60+'สระแก้ว'!L60+'สระบุรี'!L60+'สิงห์บุรี'!L60+'สุพรรณบุรี'!L60+'อ่างทอง'!L60</f>
        <v>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'กาญจนบุรี'!L61+'จันทบุรี'!L61+'ฉะเชิงเทรา'!L61+'ชลบุรี'!L61+'ชัยนาท'!L61+'ตราด'!L61+'นครนายก'!L61+'นครปฐม'!L61+'ปทุมธานี'!L61+'ประจวบคีรีขันธ์'!L61+'ปราจีนบุรี'!L61+'พระนครศรีอยุธยา'!L61+'เพชรบุรี'!L61+'ระยอง'!L61+'ราชบุรี'!L61+'ลพบุรี'!L61+'สระแก้ว'!L61+'สระบุรี'!L61+'สิงห์บุรี'!L61+'สุพรรณบุรี'!L61+'อ่างทอง'!L61</f>
        <v>0</v>
      </c>
      <c r="M61" s="125"/>
      <c r="N61" s="115">
        <f>'กาญจนบุรี'!N61+'จันทบุรี'!N61+'ฉะเชิงเทรา'!N61+'ชลบุรี'!N61+'ชัยนาท'!N61+'ตราด'!N61+'นครนายก'!N61+'นครปฐม'!N61+'ปทุมธานี'!N61+'ประจวบคีรีขันธ์'!N61+'ปราจีนบุรี'!N61+'พระนครศรีอยุธยา'!N61+'เพชรบุรี'!N61+'ระยอง'!N61+'ราชบุรี'!N61+'ลพบุรี'!N61+'สระแก้ว'!N61+'สระบุรี'!N61+'สิงห์บุรี'!N61+'สุพรรณบุรี'!N61+'อ่างทอง'!N61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'กาญจนบุรี'!I64+'จันทบุรี'!I64+'ฉะเชิงเทรา'!I64+'ชลบุรี'!I64+'ชัยนาท'!I64+'ตราด'!I64+'นครนายก'!I64+'นครปฐม'!I64+'ปทุมธานี'!I64+'ประจวบคีรีขันธ์'!I64+'ปราจีนบุรี'!I64+'พระนครศรีอยุธยา'!I64+'เพชรบุรี'!I64+'ระยอง'!I64+'ราชบุรี'!I64+'ลพบุรี'!I64+'สระแก้ว'!I64+'สระบุรี'!I64+'สิงห์บุรี'!I64+'สุพรรณบุรี'!I64+'อ่างทอง'!I64</f>
        <v>8</v>
      </c>
      <c r="J64" s="172">
        <f>'กาญจนบุรี'!J64+'จันทบุรี'!J64+'ฉะเชิงเทรา'!J64+'ชลบุรี'!J64+'ชัยนาท'!J64+'ตราด'!J64+'นครนายก'!J64+'นครปฐม'!J64+'ปทุมธานี'!J64+'ประจวบคีรีขันธ์'!J64+'ปราจีนบุรี'!J64+'พระนครศรีอยุธยา'!J64+'เพชรบุรี'!J64+'ระยอง'!J64+'ราชบุรี'!J64+'ลพบุรี'!J64+'สระแก้ว'!J64+'สระบุรี'!J64+'สิงห์บุรี'!J64+'สุพรรณบุรี'!J64+'อ่างทอง'!J64</f>
        <v>5</v>
      </c>
      <c r="K64" s="173">
        <f t="shared" ref="K64:K65" si="14">IF(I64&gt;0,J64*100/I64,0)</f>
        <v>62.5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'กาญจนบุรี'!I65+'จันทบุรี'!I65+'ฉะเชิงเทรา'!I65+'ชลบุรี'!I65+'ชัยนาท'!I65+'ตราด'!I65+'นครนายก'!I65+'นครปฐม'!I65+'ปทุมธานี'!I65+'ประจวบคีรีขันธ์'!I65+'ปราจีนบุรี'!I65+'พระนครศรีอยุธยา'!I65+'เพชรบุรี'!I65+'ระยอง'!I65+'ราชบุรี'!I65+'ลพบุรี'!I65+'สระแก้ว'!I65+'สระบุรี'!I65+'สิงห์บุรี'!I65+'สุพรรณบุรี'!I65+'อ่างทอง'!I65</f>
        <v>440</v>
      </c>
      <c r="J65" s="172">
        <f>'กาญจนบุรี'!J65+'จันทบุรี'!J65+'ฉะเชิงเทรา'!J65+'ชลบุรี'!J65+'ชัยนาท'!J65+'ตราด'!J65+'นครนายก'!J65+'นครปฐม'!J65+'ปทุมธานี'!J65+'ประจวบคีรีขันธ์'!J65+'ปราจีนบุรี'!J65+'พระนครศรีอยุธยา'!J65+'เพชรบุรี'!J65+'ระยอง'!J65+'ราชบุรี'!J65+'ลพบุรี'!J65+'สระแก้ว'!J65+'สระบุรี'!J65+'สิงห์บุรี'!J65+'สุพรรณบุรี'!J65+'อ่างทอง'!J65</f>
        <v>280</v>
      </c>
      <c r="K65" s="173">
        <f t="shared" si="14"/>
        <v>63.63636364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>'กาญจนบุรี'!L66+'จันทบุรี'!L66+'ฉะเชิงเทรา'!L66+'ชลบุรี'!L66+'ชัยนาท'!L66+'ตราด'!L66+'นครนายก'!L66+'นครปฐม'!L66+'ปทุมธานี'!L66+'ประจวบคีรีขันธ์'!L66+'ปราจีนบุรี'!L66+'พระนครศรีอยุธยา'!L66+'เพชรบุรี'!L66+'ระยอง'!L66+'ราชบุรี'!L66+'ลพบุรี'!L66+'สระแก้ว'!L66+'สระบุรี'!L66+'สิงห์บุรี'!L66+'สุพรรณบุรี'!L66+'อ่างทอง'!L66</f>
        <v>11531200</v>
      </c>
      <c r="M66" s="183">
        <f>'กาญจนบุรี'!M66+'จันทบุรี'!M66+'ฉะเชิงเทรา'!M66+'ชลบุรี'!M66+'ชัยนาท'!M66+'ตราด'!M66+'นครนายก'!M66+'นครปฐม'!M66+'ปทุมธานี'!M66+'ประจวบคีรีขันธ์'!M66+'ปราจีนบุรี'!M66+'พระนครศรีอยุธยา'!M66+'เพชรบุรี'!M66+'ระยอง'!M66+'ราชบุรี'!M66+'ลพบุรี'!M66+'สระแก้ว'!M66+'สระบุรี'!M66+'สิงห์บุรี'!M66+'สุพรรณบุรี'!M66+'อ่างทอง'!M66</f>
        <v>2925480</v>
      </c>
      <c r="N66" s="183">
        <f>'กาญจนบุรี'!N66+'จันทบุรี'!N66+'ฉะเชิงเทรา'!N66+'ชลบุรี'!N66+'ชัยนาท'!N66+'ตราด'!N66+'นครนายก'!N66+'นครปฐม'!N66+'ปทุมธานี'!N66+'ประจวบคีรีขันธ์'!N66+'ปราจีนบุรี'!N66+'พระนครศรีอยุธยา'!N66+'เพชรบุรี'!N66+'ระยอง'!N66+'ราชบุรี'!N66+'ลพบุรี'!N66+'สระแก้ว'!N66+'สระบุรี'!N66+'สิงห์บุรี'!N66+'สุพรรณบุรี'!N66+'อ่างทอง'!N66</f>
        <v>2855111</v>
      </c>
      <c r="O66" s="182">
        <f t="shared" ref="O66:O68" si="15">IF(L66&gt;0,N66*100/L66,0)</f>
        <v>24.75987755</v>
      </c>
      <c r="P66" s="182">
        <f t="shared" ref="P66:P68" si="16">IF(M66&gt;0,N66*100/M66,0)</f>
        <v>97.59461695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>'กาญจนบุรี'!L67+'จันทบุรี'!L67+'ฉะเชิงเทรา'!L67+'ชลบุรี'!L67+'ชัยนาท'!L67+'ตราด'!L67+'นครนายก'!L67+'นครปฐม'!L67+'ปทุมธานี'!L67+'ประจวบคีรีขันธ์'!L67+'ปราจีนบุรี'!L67+'พระนครศรีอยุธยา'!L67+'เพชรบุรี'!L67+'ระยอง'!L67+'ราชบุรี'!L67+'ลพบุรี'!L67+'สระแก้ว'!L67+'สระบุรี'!L67+'สิงห์บุรี'!L67+'สุพรรณบุรี'!L67+'อ่างทอง'!L67</f>
        <v>0</v>
      </c>
      <c r="M67" s="188">
        <f>'กาญจนบุรี'!M67+'จันทบุรี'!M67+'ฉะเชิงเทรา'!M67+'ชลบุรี'!M67+'ชัยนาท'!M67+'ตราด'!M67+'นครนายก'!M67+'นครปฐม'!M67+'ปทุมธานี'!M67+'ประจวบคีรีขันธ์'!M67+'ปราจีนบุรี'!M67+'พระนครศรีอยุธยา'!M67+'เพชรบุรี'!M67+'ระยอง'!M67+'ราชบุรี'!M67+'ลพบุรี'!M67+'สระแก้ว'!M67+'สระบุรี'!M67+'สิงห์บุรี'!M67+'สุพรรณบุรี'!M67+'อ่างทอง'!M67</f>
        <v>0</v>
      </c>
      <c r="N67" s="188">
        <f>'กาญจนบุรี'!N67+'จันทบุรี'!N67+'ฉะเชิงเทรา'!N67+'ชลบุรี'!N67+'ชัยนาท'!N67+'ตราด'!N67+'นครนายก'!N67+'นครปฐม'!N67+'ปทุมธานี'!N67+'ประจวบคีรีขันธ์'!N67+'ปราจีนบุรี'!N67+'พระนครศรีอยุธยา'!N67+'เพชรบุรี'!N67+'ระยอง'!N67+'ราชบุรี'!N67+'ลพบุรี'!N67+'สระแก้ว'!N67+'สระบุรี'!N67+'สิงห์บุรี'!N67+'สุพรรณบุรี'!N67+'อ่างทอง'!N67</f>
        <v>0</v>
      </c>
      <c r="O67" s="187">
        <f t="shared" si="15"/>
        <v>0</v>
      </c>
      <c r="P67" s="187">
        <f t="shared" si="16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>'กาญจนบุรี'!L68+'จันทบุรี'!L68+'ฉะเชิงเทรา'!L68+'ชลบุรี'!L68+'ชัยนาท'!L68+'ตราด'!L68+'นครนายก'!L68+'นครปฐม'!L68+'ปทุมธานี'!L68+'ประจวบคีรีขันธ์'!L68+'ปราจีนบุรี'!L68+'พระนครศรีอยุธยา'!L68+'เพชรบุรี'!L68+'ระยอง'!L68+'ราชบุรี'!L68+'ลพบุรี'!L68+'สระแก้ว'!L68+'สระบุรี'!L68+'สิงห์บุรี'!L68+'สุพรรณบุรี'!L68+'อ่างทอง'!L68</f>
        <v>11531200</v>
      </c>
      <c r="M68" s="188">
        <f>'กาญจนบุรี'!M68+'จันทบุรี'!M68+'ฉะเชิงเทรา'!M68+'ชลบุรี'!M68+'ชัยนาท'!M68+'ตราด'!M68+'นครนายก'!M68+'นครปฐม'!M68+'ปทุมธานี'!M68+'ประจวบคีรีขันธ์'!M68+'ปราจีนบุรี'!M68+'พระนครศรีอยุธยา'!M68+'เพชรบุรี'!M68+'ระยอง'!M68+'ราชบุรี'!M68+'ลพบุรี'!M68+'สระแก้ว'!M68+'สระบุรี'!M68+'สิงห์บุรี'!M68+'สุพรรณบุรี'!M68+'อ่างทอง'!M68</f>
        <v>2925480</v>
      </c>
      <c r="N68" s="188">
        <f>'กาญจนบุรี'!N68+'จันทบุรี'!N68+'ฉะเชิงเทรา'!N68+'ชลบุรี'!N68+'ชัยนาท'!N68+'ตราด'!N68+'นครนายก'!N68+'นครปฐม'!N68+'ปทุมธานี'!N68+'ประจวบคีรีขันธ์'!N68+'ปราจีนบุรี'!N68+'พระนครศรีอยุธยา'!N68+'เพชรบุรี'!N68+'ระยอง'!N68+'ราชบุรี'!N68+'ลพบุรี'!N68+'สระแก้ว'!N68+'สระบุรี'!N68+'สิงห์บุรี'!N68+'สุพรรณบุรี'!N68+'อ่างทอง'!N68</f>
        <v>2855111</v>
      </c>
      <c r="O68" s="187">
        <f t="shared" si="15"/>
        <v>24.75987755</v>
      </c>
      <c r="P68" s="187">
        <f t="shared" si="16"/>
        <v>97.59461695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f>'กาญจนบุรี'!L69+'จันทบุรี'!L69+'ฉะเชิงเทรา'!L69+'ชลบุรี'!L69+'ชัยนาท'!L69+'ตราด'!L69+'นครนายก'!L69+'นครปฐม'!L69+'ปทุมธานี'!L69+'ประจวบคีรีขันธ์'!L69+'ปราจีนบุรี'!L69+'พระนครศรีอยุธยา'!L69+'เพชรบุรี'!L69+'ระยอง'!L69+'ราชบุรี'!L69+'ลพบุรี'!L69+'สระแก้ว'!L69+'สระบุรี'!L69+'สิงห์บุรี'!L69+'สุพรรณบุรี'!L69+'อ่างทอง'!L69</f>
        <v>0</v>
      </c>
      <c r="M69" s="197">
        <f>'กาญจนบุรี'!M69+'จันทบุรี'!M69+'ฉะเชิงเทรา'!M69+'ชลบุรี'!M69+'ชัยนาท'!M69+'ตราด'!M69+'นครนายก'!M69+'นครปฐม'!M69+'ปทุมธานี'!M69+'ประจวบคีรีขันธ์'!M69+'ปราจีนบุรี'!M69+'พระนครศรีอยุธยา'!M69+'เพชรบุรี'!M69+'ระยอง'!M69+'ราชบุรี'!M69+'ลพบุรี'!M69+'สระแก้ว'!M69+'สระบุรี'!M69+'สิงห์บุรี'!M69+'สุพรรณบุรี'!M69+'อ่างทอง'!M69</f>
        <v>0</v>
      </c>
      <c r="N69" s="197">
        <f>'กาญจนบุรี'!N69+'จันทบุรี'!N69+'ฉะเชิงเทรา'!N69+'ชลบุรี'!N69+'ชัยนาท'!N69+'ตราด'!N69+'นครนายก'!N69+'นครปฐม'!N69+'ปทุมธานี'!N69+'ประจวบคีรีขันธ์'!N69+'ปราจีนบุรี'!N69+'พระนครศรีอยุธยา'!N69+'เพชรบุรี'!N69+'ระยอง'!N69+'ราชบุรี'!N69+'ลพบุรี'!N69+'สระแก้ว'!N69+'สระบุรี'!N69+'สิงห์บุรี'!N69+'สุพรรณบุรี'!N69+'อ่างทอง'!N69</f>
        <v>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'กาญจนบุรี'!L70+'จันทบุรี'!L70+'ฉะเชิงเทรา'!L70+'ชลบุรี'!L70+'ชัยนาท'!L70+'ตราด'!L70+'นครนายก'!L70+'นครปฐม'!L70+'ปทุมธานี'!L70+'ประจวบคีรีขันธ์'!L70+'ปราจีนบุรี'!L70+'พระนครศรีอยุธยา'!L70+'เพชรบุรี'!L70+'ระยอง'!L70+'ราชบุรี'!L70+'ลพบุรี'!L70+'สระแก้ว'!L70+'สระบุรี'!L70+'สิงห์บุรี'!L70+'สุพรรณบุรี'!L70+'อ่างทอง'!L70</f>
        <v>5268100</v>
      </c>
      <c r="M70" s="201">
        <f>'กาญจนบุรี'!M70+'จันทบุรี'!M70+'ฉะเชิงเทรา'!M70+'ชลบุรี'!M70+'ชัยนาท'!M70+'ตราด'!M70+'นครนายก'!M70+'นครปฐม'!M70+'ปทุมธานี'!M70+'ประจวบคีรีขันธ์'!M70+'ปราจีนบุรี'!M70+'พระนครศรีอยุธยา'!M70+'เพชรบุรี'!M70+'ระยอง'!M70+'ราชบุรี'!M70+'ลพบุรี'!M70+'สระแก้ว'!M70+'สระบุรี'!M70+'สิงห์บุรี'!M70+'สุพรรณบุรี'!M70+'อ่างทอง'!M70</f>
        <v>2925480</v>
      </c>
      <c r="N70" s="202">
        <f>'กาญจนบุรี'!N70+'จันทบุรี'!N70+'ฉะเชิงเทรา'!N70+'ชลบุรี'!N70+'ชัยนาท'!N70+'ตราด'!N70+'นครนายก'!N70+'นครปฐม'!N70+'ปทุมธานี'!N70+'ประจวบคีรีขันธ์'!N70+'ปราจีนบุรี'!N70+'พระนครศรีอยุธยา'!N70+'เพชรบุรี'!N70+'ระยอง'!N70+'ราชบุรี'!N70+'ลพบุรี'!N70+'สระแก้ว'!N70+'สระบุรี'!N70+'สิงห์บุรี'!N70+'สุพรรณบุรี'!N70+'อ่างทอง'!N70</f>
        <v>1594011</v>
      </c>
      <c r="O70" s="203">
        <f>IF(L70&gt;0,N70*100/L70,0)</f>
        <v>30.25779693</v>
      </c>
      <c r="P70" s="203">
        <f>IF(M70&gt;0,N70*100/M70,0)</f>
        <v>54.48716108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'กาญจนบุรี'!L71+'จันทบุรี'!L71+'ฉะเชิงเทรา'!L71+'ชลบุรี'!L71+'ชัยนาท'!L71+'ตราด'!L71+'นครนายก'!L71+'นครปฐม'!L71+'ปทุมธานี'!L71+'ประจวบคีรีขันธ์'!L71+'ปราจีนบุรี'!L71+'พระนครศรีอยุธยา'!L71+'เพชรบุรี'!L71+'ระยอง'!L71+'ราชบุรี'!L71+'ลพบุรี'!L71+'สระแก้ว'!L71+'สระบุรี'!L71+'สิงห์บุรี'!L71+'สุพรรณบุรี'!L71+'อ่างทอง'!L71</f>
        <v>1378100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'กาญจนบุรี'!L72+'จันทบุรี'!L72+'ฉะเชิงเทรา'!L72+'ชลบุรี'!L72+'ชัยนาท'!L72+'ตราด'!L72+'นครนายก'!L72+'นครปฐม'!L72+'ปทุมธานี'!L72+'ประจวบคีรีขันธ์'!L72+'ปราจีนบุรี'!L72+'พระนครศรีอยุธยา'!L72+'เพชรบุรี'!L72+'ระยอง'!L72+'ราชบุรี'!L72+'ลพบุรี'!L72+'สระแก้ว'!L72+'สระบุรี'!L72+'สิงห์บุรี'!L72+'สุพรรณบุรี'!L72+'อ่างทอง'!L72</f>
        <v>3890000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f>'กาญจนบุรี'!L73+'จันทบุรี'!L73+'ฉะเชิงเทรา'!L73+'ชลบุรี'!L73+'ชัยนาท'!L73+'ตราด'!L73+'นครนายก'!L73+'นครปฐม'!L73+'ปทุมธานี'!L73+'ประจวบคีรีขันธ์'!L73+'ปราจีนบุรี'!L73+'พระนครศรีอยุธยา'!L73+'เพชรบุรี'!L73+'ระยอง'!L73+'ราชบุรี'!L73+'ลพบุรี'!L73+'สระแก้ว'!L73+'สระบุรี'!L73+'สิงห์บุรี'!L73+'สุพรรณบุรี'!L73+'อ่างทอง'!L73</f>
        <v>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'กาญจนบุรี'!L74+'จันทบุรี'!L74+'ฉะเชิงเทรา'!L74+'ชลบุรี'!L74+'ชัยนาท'!L74+'ตราด'!L74+'นครนายก'!L74+'นครปฐม'!L74+'ปทุมธานี'!L74+'ประจวบคีรีขันธ์'!L74+'ปราจีนบุรี'!L74+'พระนครศรีอยุธยา'!L74+'เพชรบุรี'!L74+'ระยอง'!L74+'ราชบุรี'!L74+'ลพบุรี'!L74+'สระแก้ว'!L74+'สระบุรี'!L74+'สิงห์บุรี'!L74+'สุพรรณบุรี'!L74+'อ่างทอง'!L74</f>
        <v>6263100</v>
      </c>
      <c r="M74" s="125"/>
      <c r="N74" s="115">
        <f>'กาญจนบุรี'!N74+'จันทบุรี'!N74+'ฉะเชิงเทรา'!N74+'ชลบุรี'!N74+'ชัยนาท'!N74+'ตราด'!N74+'นครนายก'!N74+'นครปฐม'!N74+'ปทุมธานี'!N74+'ประจวบคีรีขันธ์'!N74+'ปราจีนบุรี'!N74+'พระนครศรีอยุธยา'!N74+'เพชรบุรี'!N74+'ระยอง'!N74+'ราชบุรี'!N74+'ลพบุรี'!N74+'สระแก้ว'!N74+'สระบุรี'!N74+'สิงห์บุรี'!N74+'สุพรรณบุรี'!N74+'อ่างทอง'!N74</f>
        <v>1261100</v>
      </c>
      <c r="O74" s="125">
        <f>IF(L74&gt;0,N74*100/L74,0)</f>
        <v>20.13539621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'กาญจนบุรี'!J76+'จันทบุรี'!J76+'ฉะเชิงเทรา'!J76+'ชลบุรี'!J76+'ชัยนาท'!J76+'ตราด'!J76+'นครนายก'!J76+'นครปฐม'!J76+'ปทุมธานี'!J76+'ประจวบคีรีขันธ์'!J76+'ปราจีนบุรี'!J76+'พระนครศรีอยุธยา'!J76+'เพชรบุรี'!J76+'ระยอง'!J76+'ราชบุรี'!J76+'ลพบุรี'!J76+'สระแก้ว'!J76+'สระบุรี'!J76+'สิงห์บุรี'!J76+'สุพรรณบุรี'!J76+'อ่างทอง'!J76</f>
        <v>1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'กาญจนบุรี'!J77+'จันทบุรี'!J77+'ฉะเชิงเทรา'!J77+'ชลบุรี'!J77+'ชัยนาท'!J77+'ตราด'!J77+'นครนายก'!J77+'นครปฐม'!J77+'ปทุมธานี'!J77+'ประจวบคีรีขันธ์'!J77+'ปราจีนบุรี'!J77+'พระนครศรีอยุธยา'!J77+'เพชรบุรี'!J77+'ระยอง'!J77+'ราชบุรี'!J77+'ลพบุรี'!J77+'สระแก้ว'!J77+'สระบุรี'!J77+'สิงห์บุรี'!J77+'สุพรรณบุรี'!J77+'อ่างทอง'!J77</f>
        <v>5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'กาญจนบุรี'!J78+'จันทบุรี'!J78+'ฉะเชิงเทรา'!J78+'ชลบุรี'!J78+'ชัยนาท'!J78+'ตราด'!J78+'นครนายก'!J78+'นครปฐม'!J78+'ปทุมธานี'!J78+'ประจวบคีรีขันธ์'!J78+'ปราจีนบุรี'!J78+'พระนครศรีอยุธยา'!J78+'เพชรบุรี'!J78+'ระยอง'!J78+'ราชบุรี'!J78+'ลพบุรี'!J78+'สระแก้ว'!J78+'สระบุรี'!J78+'สิงห์บุรี'!J78+'สุพรรณบุรี'!J78+'อ่างทอง'!J78</f>
        <v>5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'กาญจนบุรี'!J79+'จันทบุรี'!J79+'ฉะเชิงเทรา'!J79+'ชลบุรี'!J79+'ชัยนาท'!J79+'ตราด'!J79+'นครนายก'!J79+'นครปฐม'!J79+'ปทุมธานี'!J79+'ประจวบคีรีขันธ์'!J79+'ปราจีนบุรี'!J79+'พระนครศรีอยุธยา'!J79+'เพชรบุรี'!J79+'ระยอง'!J79+'ราชบุรี'!J79+'ลพบุรี'!J79+'สระแก้ว'!J79+'สระบุรี'!J79+'สิงห์บุรี'!J79+'สุพรรณบุรี'!J79+'อ่างทอง'!J79</f>
        <v>4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'กาญจนบุรี'!I80+'จันทบุรี'!I80+'ฉะเชิงเทรา'!I80+'ชลบุรี'!I80+'ชัยนาท'!I80+'ตราด'!I80+'นครนายก'!I80+'นครปฐม'!I80+'ปทุมธานี'!I80+'ประจวบคีรีขันธ์'!I80+'ปราจีนบุรี'!I80+'พระนครศรีอยุธยา'!I80+'เพชรบุรี'!I80+'ระยอง'!I80+'ราชบุรี'!I80+'ลพบุรี'!I80+'สระแก้ว'!I80+'สระบุรี'!I80+'สิงห์บุรี'!I80+'สุพรรณบุรี'!I80+'อ่างทอง'!I80</f>
        <v>8</v>
      </c>
      <c r="J80" s="235">
        <f>'กาญจนบุรี'!J80+'จันทบุรี'!J80+'ฉะเชิงเทรา'!J80+'ชลบุรี'!J80+'ชัยนาท'!J80+'ตราด'!J80+'นครนายก'!J80+'นครปฐม'!J80+'ปทุมธานี'!J80+'ประจวบคีรีขันธ์'!J80+'ปราจีนบุรี'!J80+'พระนครศรีอยุธยา'!J80+'เพชรบุรี'!J80+'ระยอง'!J80+'ราชบุรี'!J80+'ลพบุรี'!J80+'สระแก้ว'!J80+'สระบุรี'!J80+'สิงห์บุรี'!J80+'สุพรรณบุรี'!J80+'อ่างทอง'!J80</f>
        <v>5</v>
      </c>
      <c r="K80" s="236">
        <f t="shared" ref="K80:K88" si="17">IF(I80&gt;0,J80*100/I80,0)</f>
        <v>62.5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'กาญจนบุรี'!I81+'จันทบุรี'!I81+'ฉะเชิงเทรา'!I81+'ชลบุรี'!I81+'ชัยนาท'!I81+'ตราด'!I81+'นครนายก'!I81+'นครปฐม'!I81+'ปทุมธานี'!I81+'ประจวบคีรีขันธ์'!I81+'ปราจีนบุรี'!I81+'พระนครศรีอยุธยา'!I81+'เพชรบุรี'!I81+'ระยอง'!I81+'ราชบุรี'!I81+'ลพบุรี'!I81+'สระแก้ว'!I81+'สระบุรี'!I81+'สิงห์บุรี'!I81+'สุพรรณบุรี'!I81+'อ่างทอง'!I81</f>
        <v>440</v>
      </c>
      <c r="J81" s="235">
        <f>'กาญจนบุรี'!J81+'จันทบุรี'!J81+'ฉะเชิงเทรา'!J81+'ชลบุรี'!J81+'ชัยนาท'!J81+'ตราด'!J81+'นครนายก'!J81+'นครปฐม'!J81+'ปทุมธานี'!J81+'ประจวบคีรีขันธ์'!J81+'ปราจีนบุรี'!J81+'พระนครศรีอยุธยา'!J81+'เพชรบุรี'!J81+'ระยอง'!J81+'ราชบุรี'!J81+'ลพบุรี'!J81+'สระแก้ว'!J81+'สระบุรี'!J81+'สิงห์บุรี'!J81+'สุพรรณบุรี'!J81+'อ่างทอง'!J81</f>
        <v>280</v>
      </c>
      <c r="K81" s="236">
        <f t="shared" si="17"/>
        <v>63.63636364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'กาญจนบุรี'!I82+'จันทบุรี'!I82+'ฉะเชิงเทรา'!I82+'ชลบุรี'!I82+'ชัยนาท'!I82+'ตราด'!I82+'นครนายก'!I82+'นครปฐม'!I82+'ปทุมธานี'!I82+'ประจวบคีรีขันธ์'!I82+'ปราจีนบุรี'!I82+'พระนครศรีอยุธยา'!I82+'เพชรบุรี'!I82+'ระยอง'!I82+'ราชบุรี'!I82+'ลพบุรี'!I82+'สระแก้ว'!I82+'สระบุรี'!I82+'สิงห์บุรี'!I82+'สุพรรณบุรี'!I82+'อ่างทอง'!I82</f>
        <v>2</v>
      </c>
      <c r="J82" s="238">
        <f>'กาญจนบุรี'!J82+'จันทบุรี'!J82+'ฉะเชิงเทรา'!J82+'ชลบุรี'!J82+'ชัยนาท'!J82+'ตราด'!J82+'นครนายก'!J82+'นครปฐม'!J82+'ปทุมธานี'!J82+'ประจวบคีรีขันธ์'!J82+'ปราจีนบุรี'!J82+'พระนครศรีอยุธยา'!J82+'เพชรบุรี'!J82+'ระยอง'!J82+'ราชบุรี'!J82+'ลพบุรี'!J82+'สระแก้ว'!J82+'สระบุรี'!J82+'สิงห์บุรี'!J82+'สุพรรณบุรี'!J82+'อ่างทอง'!J82</f>
        <v>1</v>
      </c>
      <c r="K82" s="196">
        <f t="shared" si="17"/>
        <v>50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'กาญจนบุรี'!I83+'จันทบุรี'!I83+'ฉะเชิงเทรา'!I83+'ชลบุรี'!I83+'ชัยนาท'!I83+'ตราด'!I83+'นครนายก'!I83+'นครปฐม'!I83+'ปทุมธานี'!I83+'ประจวบคีรีขันธ์'!I83+'ปราจีนบุรี'!I83+'พระนครศรีอยุธยา'!I83+'เพชรบุรี'!I83+'ระยอง'!I83+'ราชบุรี'!I83+'ลพบุรี'!I83+'สระแก้ว'!I83+'สระบุรี'!I83+'สิงห์บุรี'!I83+'สุพรรณบุรี'!I83+'อ่างทอง'!I83</f>
        <v>150</v>
      </c>
      <c r="J83" s="238">
        <f>'กาญจนบุรี'!J83+'จันทบุรี'!J83+'ฉะเชิงเทรา'!J83+'ชลบุรี'!J83+'ชัยนาท'!J83+'ตราด'!J83+'นครนายก'!J83+'นครปฐม'!J83+'ปทุมธานี'!J83+'ประจวบคีรีขันธ์'!J83+'ปราจีนบุรี'!J83+'พระนครศรีอยุธยา'!J83+'เพชรบุรี'!J83+'ระยอง'!J83+'ราชบุรี'!J83+'ลพบุรี'!J83+'สระแก้ว'!J83+'สระบุรี'!J83+'สิงห์บุรี'!J83+'สุพรรณบุรี'!J83+'อ่างทอง'!J83</f>
        <v>80</v>
      </c>
      <c r="K83" s="196">
        <f t="shared" si="17"/>
        <v>53.33333333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'กาญจนบุรี'!I84+'จันทบุรี'!I84+'ฉะเชิงเทรา'!I84+'ชลบุรี'!I84+'ชัยนาท'!I84+'ตราด'!I84+'นครนายก'!I84+'นครปฐม'!I84+'ปทุมธานี'!I84+'ประจวบคีรีขันธ์'!I84+'ปราจีนบุรี'!I84+'พระนครศรีอยุธยา'!I84+'เพชรบุรี'!I84+'ระยอง'!I84+'ราชบุรี'!I84+'ลพบุรี'!I84+'สระแก้ว'!I84+'สระบุรี'!I84+'สิงห์บุรี'!I84+'สุพรรณบุรี'!I84+'อ่างทอง'!I84</f>
        <v>2</v>
      </c>
      <c r="J84" s="223">
        <f>'กาญจนบุรี'!J84+'จันทบุรี'!J84+'ฉะเชิงเทรา'!J84+'ชลบุรี'!J84+'ชัยนาท'!J84+'ตราด'!J84+'นครนายก'!J84+'นครปฐม'!J84+'ปทุมธานี'!J84+'ประจวบคีรีขันธ์'!J84+'ปราจีนบุรี'!J84+'พระนครศรีอยุธยา'!J84+'เพชรบุรี'!J84+'ระยอง'!J84+'ราชบุรี'!J84+'ลพบุรี'!J84+'สระแก้ว'!J84+'สระบุรี'!J84+'สิงห์บุรี'!J84+'สุพรรณบุรี'!J84+'อ่างทอง'!J84</f>
        <v>1</v>
      </c>
      <c r="K84" s="196">
        <f t="shared" si="17"/>
        <v>50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'กาญจนบุรี'!I85+'จันทบุรี'!I85+'ฉะเชิงเทรา'!I85+'ชลบุรี'!I85+'ชัยนาท'!I85+'ตราด'!I85+'นครนายก'!I85+'นครปฐม'!I85+'ปทุมธานี'!I85+'ประจวบคีรีขันธ์'!I85+'ปราจีนบุรี'!I85+'พระนครศรีอยุธยา'!I85+'เพชรบุรี'!I85+'ระยอง'!I85+'ราชบุรี'!I85+'ลพบุรี'!I85+'สระแก้ว'!I85+'สระบุรี'!I85+'สิงห์บุรี'!I85+'สุพรรณบุรี'!I85+'อ่างทอง'!I85</f>
        <v>130</v>
      </c>
      <c r="J85" s="223">
        <f>'กาญจนบุรี'!J85+'จันทบุรี'!J85+'ฉะเชิงเทรา'!J85+'ชลบุรี'!J85+'ชัยนาท'!J85+'ตราด'!J85+'นครนายก'!J85+'นครปฐม'!J85+'ปทุมธานี'!J85+'ประจวบคีรีขันธ์'!J85+'ปราจีนบุรี'!J85+'พระนครศรีอยุธยา'!J85+'เพชรบุรี'!J85+'ระยอง'!J85+'ราชบุรี'!J85+'ลพบุรี'!J85+'สระแก้ว'!J85+'สระบุรี'!J85+'สิงห์บุรี'!J85+'สุพรรณบุรี'!J85+'อ่างทอง'!J85</f>
        <v>100</v>
      </c>
      <c r="K85" s="196">
        <f t="shared" si="17"/>
        <v>76.92307692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'กาญจนบุรี'!I86+'จันทบุรี'!I86+'ฉะเชิงเทรา'!I86+'ชลบุรี'!I86+'ชัยนาท'!I86+'ตราด'!I86+'นครนายก'!I86+'นครปฐม'!I86+'ปทุมธานี'!I86+'ประจวบคีรีขันธ์'!I86+'ปราจีนบุรี'!I86+'พระนครศรีอยุธยา'!I86+'เพชรบุรี'!I86+'ระยอง'!I86+'ราชบุรี'!I86+'ลพบุรี'!I86+'สระแก้ว'!I86+'สระบุรี'!I86+'สิงห์บุรี'!I86+'สุพรรณบุรี'!I86+'อ่างทอง'!I86</f>
        <v>4</v>
      </c>
      <c r="J86" s="238">
        <f>'กาญจนบุรี'!J86+'จันทบุรี'!J86+'ฉะเชิงเทรา'!J86+'ชลบุรี'!J86+'ชัยนาท'!J86+'ตราด'!J86+'นครนายก'!J86+'นครปฐม'!J86+'ปทุมธานี'!J86+'ประจวบคีรีขันธ์'!J86+'ปราจีนบุรี'!J86+'พระนครศรีอยุธยา'!J86+'เพชรบุรี'!J86+'ระยอง'!J86+'ราชบุรี'!J86+'ลพบุรี'!J86+'สระแก้ว'!J86+'สระบุรี'!J86+'สิงห์บุรี'!J86+'สุพรรณบุรี'!J86+'อ่างทอง'!J86</f>
        <v>3</v>
      </c>
      <c r="K86" s="196">
        <f t="shared" si="17"/>
        <v>75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'กาญจนบุรี'!I87+'จันทบุรี'!I87+'ฉะเชิงเทรา'!I87+'ชลบุรี'!I87+'ชัยนาท'!I87+'ตราด'!I87+'นครนายก'!I87+'นครปฐม'!I87+'ปทุมธานี'!I87+'ประจวบคีรีขันธ์'!I87+'ปราจีนบุรี'!I87+'พระนครศรีอยุธยา'!I87+'เพชรบุรี'!I87+'ระยอง'!I87+'ราชบุรี'!I87+'ลพบุรี'!I87+'สระแก้ว'!I87+'สระบุรี'!I87+'สิงห์บุรี'!I87+'สุพรรณบุรี'!I87+'อ่างทอง'!I87</f>
        <v>160</v>
      </c>
      <c r="J87" s="238">
        <f>'กาญจนบุรี'!J87+'จันทบุรี'!J87+'ฉะเชิงเทรา'!J87+'ชลบุรี'!J87+'ชัยนาท'!J87+'ตราด'!J87+'นครนายก'!J87+'นครปฐม'!J87+'ปทุมธานี'!J87+'ประจวบคีรีขันธ์'!J87+'ปราจีนบุรี'!J87+'พระนครศรีอยุธยา'!J87+'เพชรบุรี'!J87+'ระยอง'!J87+'ราชบุรี'!J87+'ลพบุรี'!J87+'สระแก้ว'!J87+'สระบุรี'!J87+'สิงห์บุรี'!J87+'สุพรรณบุรี'!J87+'อ่างทอง'!J87</f>
        <v>100</v>
      </c>
      <c r="K87" s="196">
        <f t="shared" si="17"/>
        <v>62.5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'กาญจนบุรี'!I88+'จันทบุรี'!I88+'ฉะเชิงเทรา'!I88+'ชลบุรี'!I88+'ชัยนาท'!I88+'ตราด'!I88+'นครนายก'!I88+'นครปฐม'!I88+'ปทุมธานี'!I88+'ประจวบคีรีขันธ์'!I88+'ปราจีนบุรี'!I88+'พระนครศรีอยุธยา'!I88+'เพชรบุรี'!I88+'ระยอง'!I88+'ราชบุรี'!I88+'ลพบุรี'!I88+'สระแก้ว'!I88+'สระบุรี'!I88+'สิงห์บุรี'!I88+'สุพรรณบุรี'!I88+'อ่างทอง'!I88</f>
        <v>150</v>
      </c>
      <c r="J88" s="238">
        <f>'กาญจนบุรี'!J88+'จันทบุรี'!J88+'ฉะเชิงเทรา'!J88+'ชลบุรี'!J88+'ชัยนาท'!J88+'ตราด'!J88+'นครนายก'!J88+'นครปฐม'!J88+'ปทุมธานี'!J88+'ประจวบคีรีขันธ์'!J88+'ปราจีนบุรี'!J88+'พระนครศรีอยุธยา'!J88+'เพชรบุรี'!J88+'ระยอง'!J88+'ราชบุรี'!J88+'ลพบุรี'!J88+'สระแก้ว'!J88+'สระบุรี'!J88+'สิงห์บุรี'!J88+'สุพรรณบุรี'!J88+'อ่างทอง'!J88</f>
        <v>0</v>
      </c>
      <c r="K88" s="196">
        <f t="shared" si="17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'กาญจนบุรี'!J89+'จันทบุรี'!J89+'ฉะเชิงเทรา'!J89+'ชลบุรี'!J89+'ชัยนาท'!J89+'ตราด'!J89+'นครนายก'!J89+'นครปฐม'!J89+'ปทุมธานี'!J89+'ประจวบคีรีขันธ์'!J89+'ปราจีนบุรี'!J89+'พระนครศรีอยุธยา'!J89+'เพชรบุรี'!J89+'ระยอง'!J89+'ราชบุรี'!J89+'ลพบุรี'!J89+'สระแก้ว'!J89+'สระบุรี'!J89+'สิงห์บุรี'!J89+'สุพรรณบุรี'!J89+'อ่างทอง'!J89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'กาญจนบุรี'!J90+'จันทบุรี'!J90+'ฉะเชิงเทรา'!J90+'ชลบุรี'!J90+'ชัยนาท'!J90+'ตราด'!J90+'นครนายก'!J90+'นครปฐม'!J90+'ปทุมธานี'!J90+'ประจวบคีรีขันธ์'!J90+'ปราจีนบุรี'!J90+'พระนครศรีอยุธยา'!J90+'เพชรบุรี'!J90+'ระยอง'!J90+'ราชบุรี'!J90+'ลพบุรี'!J90+'สระแก้ว'!J90+'สระบุรี'!J90+'สิงห์บุรี'!J90+'สุพรรณบุรี'!J90+'อ่างทอง'!J90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'กาญจนบุรี'!I92+'จันทบุรี'!I92+'ฉะเชิงเทรา'!I92+'ชลบุรี'!I92+'ชัยนาท'!I92+'ตราด'!I92+'นครนายก'!I92+'นครปฐม'!I92+'ปทุมธานี'!I92+'ประจวบคีรีขันธ์'!I92+'ปราจีนบุรี'!I92+'พระนครศรีอยุธยา'!I92+'เพชรบุรี'!I92+'ระยอง'!I92+'ราชบุรี'!I92+'ลพบุรี'!I92+'สระแก้ว'!I92+'สระบุรี'!I92+'สิงห์บุรี'!I92+'สุพรรณบุรี'!I92+'อ่างทอง'!I92</f>
        <v>29</v>
      </c>
      <c r="J92" s="172">
        <f>'กาญจนบุรี'!J92+'จันทบุรี'!J92+'ฉะเชิงเทรา'!J92+'ชลบุรี'!J92+'ชัยนาท'!J92+'ตราด'!J92+'นครนายก'!J92+'นครปฐม'!J92+'ปทุมธานี'!J92+'ประจวบคีรีขันธ์'!J92+'ปราจีนบุรี'!J92+'พระนครศรีอยุธยา'!J92+'เพชรบุรี'!J92+'ระยอง'!J92+'ราชบุรี'!J92+'ลพบุรี'!J92+'สระแก้ว'!J92+'สระบุรี'!J92+'สิงห์บุรี'!J92+'สุพรรณบุรี'!J92+'อ่างทอง'!J92</f>
        <v>14</v>
      </c>
      <c r="K92" s="173">
        <f t="shared" ref="K92:K93" si="18">IF(I92&gt;0,J92*100/I92,0)</f>
        <v>48.27586207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'กาญจนบุรี'!I93+'จันทบุรี'!I93+'ฉะเชิงเทรา'!I93+'ชลบุรี'!I93+'ชัยนาท'!I93+'ตราด'!I93+'นครนายก'!I93+'นครปฐม'!I93+'ปทุมธานี'!I93+'ประจวบคีรีขันธ์'!I93+'ปราจีนบุรี'!I93+'พระนครศรีอยุธยา'!I93+'เพชรบุรี'!I93+'ระยอง'!I93+'ราชบุรี'!I93+'ลพบุรี'!I93+'สระแก้ว'!I93+'สระบุรี'!I93+'สิงห์บุรี'!I93+'สุพรรณบุรี'!I93+'อ่างทอง'!I93</f>
        <v>8</v>
      </c>
      <c r="J93" s="172">
        <f>'กาญจนบุรี'!J93+'จันทบุรี'!J93+'ฉะเชิงเทรา'!J93+'ชลบุรี'!J93+'ชัยนาท'!J93+'ตราด'!J93+'นครนายก'!J93+'นครปฐม'!J93+'ปทุมธานี'!J93+'ประจวบคีรีขันธ์'!J93+'ปราจีนบุรี'!J93+'พระนครศรีอยุธยา'!J93+'เพชรบุรี'!J93+'ระยอง'!J93+'ราชบุรี'!J93+'ลพบุรี'!J93+'สระแก้ว'!J93+'สระบุรี'!J93+'สิงห์บุรี'!J93+'สุพรรณบุรี'!J93+'อ่างทอง'!J93</f>
        <v>0</v>
      </c>
      <c r="K93" s="173">
        <f t="shared" si="18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>'กาญจนบุรี'!L94+'จันทบุรี'!L94+'ฉะเชิงเทรา'!L94+'ชลบุรี'!L94+'ชัยนาท'!L94+'ตราด'!L94+'นครนายก'!L94+'นครปฐม'!L94+'ปทุมธานี'!L94+'ประจวบคีรีขันธ์'!L94+'ปราจีนบุรี'!L94+'พระนครศรีอยุธยา'!L94+'เพชรบุรี'!L94+'ระยอง'!L94+'ราชบุรี'!L94+'ลพบุรี'!L94+'สระแก้ว'!L94+'สระบุรี'!L94+'สิงห์บุรี'!L94+'สุพรรณบุรี'!L94+'อ่างทอง'!L94</f>
        <v>1493740</v>
      </c>
      <c r="M94" s="183">
        <f>'กาญจนบุรี'!M94+'จันทบุรี'!M94+'ฉะเชิงเทรา'!M94+'ชลบุรี'!M94+'ชัยนาท'!M94+'ตราด'!M94+'นครนายก'!M94+'นครปฐม'!M94+'ปทุมธานี'!M94+'ประจวบคีรีขันธ์'!M94+'ปราจีนบุรี'!M94+'พระนครศรีอยุธยา'!M94+'เพชรบุรี'!M94+'ระยอง'!M94+'ราชบุรี'!M94+'ลพบุรี'!M94+'สระแก้ว'!M94+'สระบุรี'!M94+'สิงห์บุรี'!M94+'สุพรรณบุรี'!M94+'อ่างทอง'!M94</f>
        <v>433480</v>
      </c>
      <c r="N94" s="183">
        <f>'กาญจนบุรี'!N94+'จันทบุรี'!N94+'ฉะเชิงเทรา'!N94+'ชลบุรี'!N94+'ชัยนาท'!N94+'ตราด'!N94+'นครนายก'!N94+'นครปฐม'!N94+'ปทุมธานี'!N94+'ประจวบคีรีขันธ์'!N94+'ปราจีนบุรี'!N94+'พระนครศรีอยุธยา'!N94+'เพชรบุรี'!N94+'ระยอง'!N94+'ราชบุรี'!N94+'ลพบุรี'!N94+'สระแก้ว'!N94+'สระบุรี'!N94+'สิงห์บุรี'!N94+'สุพรรณบุรี'!N94+'อ่างทอง'!N94</f>
        <v>299789</v>
      </c>
      <c r="O94" s="182">
        <f t="shared" ref="O94:O96" si="19">IF(L94&gt;0,N94*100/L94,0)</f>
        <v>20.06969084</v>
      </c>
      <c r="P94" s="182">
        <f t="shared" ref="P94:P96" si="20">IF(M94&gt;0,N94*100/M94,0)</f>
        <v>69.15866937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>'กาญจนบุรี'!L95+'จันทบุรี'!L95+'ฉะเชิงเทรา'!L95+'ชลบุรี'!L95+'ชัยนาท'!L95+'ตราด'!L95+'นครนายก'!L95+'นครปฐม'!L95+'ปทุมธานี'!L95+'ประจวบคีรีขันธ์'!L95+'ปราจีนบุรี'!L95+'พระนครศรีอยุธยา'!L95+'เพชรบุรี'!L95+'ระยอง'!L95+'ราชบุรี'!L95+'ลพบุรี'!L95+'สระแก้ว'!L95+'สระบุรี'!L95+'สิงห์บุรี'!L95+'สุพรรณบุรี'!L95+'อ่างทอง'!L95</f>
        <v>0</v>
      </c>
      <c r="M95" s="188">
        <f>'กาญจนบุรี'!M95+'จันทบุรี'!M95+'ฉะเชิงเทรา'!M95+'ชลบุรี'!M95+'ชัยนาท'!M95+'ตราด'!M95+'นครนายก'!M95+'นครปฐม'!M95+'ปทุมธานี'!M95+'ประจวบคีรีขันธ์'!M95+'ปราจีนบุรี'!M95+'พระนครศรีอยุธยา'!M95+'เพชรบุรี'!M95+'ระยอง'!M95+'ราชบุรี'!M95+'ลพบุรี'!M95+'สระแก้ว'!M95+'สระบุรี'!M95+'สิงห์บุรี'!M95+'สุพรรณบุรี'!M95+'อ่างทอง'!M95</f>
        <v>0</v>
      </c>
      <c r="N95" s="188">
        <f>'กาญจนบุรี'!N95+'จันทบุรี'!N95+'ฉะเชิงเทรา'!N95+'ชลบุรี'!N95+'ชัยนาท'!N95+'ตราด'!N95+'นครนายก'!N95+'นครปฐม'!N95+'ปทุมธานี'!N95+'ประจวบคีรีขันธ์'!N95+'ปราจีนบุรี'!N95+'พระนครศรีอยุธยา'!N95+'เพชรบุรี'!N95+'ระยอง'!N95+'ราชบุรี'!N95+'ลพบุรี'!N95+'สระแก้ว'!N95+'สระบุรี'!N95+'สิงห์บุรี'!N95+'สุพรรณบุรี'!N95+'อ่างทอง'!N95</f>
        <v>0</v>
      </c>
      <c r="O95" s="187">
        <f t="shared" si="19"/>
        <v>0</v>
      </c>
      <c r="P95" s="187">
        <f t="shared" si="20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>'กาญจนบุรี'!L96+'จันทบุรี'!L96+'ฉะเชิงเทรา'!L96+'ชลบุรี'!L96+'ชัยนาท'!L96+'ตราด'!L96+'นครนายก'!L96+'นครปฐม'!L96+'ปทุมธานี'!L96+'ประจวบคีรีขันธ์'!L96+'ปราจีนบุรี'!L96+'พระนครศรีอยุธยา'!L96+'เพชรบุรี'!L96+'ระยอง'!L96+'ราชบุรี'!L96+'ลพบุรี'!L96+'สระแก้ว'!L96+'สระบุรี'!L96+'สิงห์บุรี'!L96+'สุพรรณบุรี'!L96+'อ่างทอง'!L96</f>
        <v>1493740</v>
      </c>
      <c r="M96" s="188">
        <f>'กาญจนบุรี'!M96+'จันทบุรี'!M96+'ฉะเชิงเทรา'!M96+'ชลบุรี'!M96+'ชัยนาท'!M96+'ตราด'!M96+'นครนายก'!M96+'นครปฐม'!M96+'ปทุมธานี'!M96+'ประจวบคีรีขันธ์'!M96+'ปราจีนบุรี'!M96+'พระนครศรีอยุธยา'!M96+'เพชรบุรี'!M96+'ระยอง'!M96+'ราชบุรี'!M96+'ลพบุรี'!M96+'สระแก้ว'!M96+'สระบุรี'!M96+'สิงห์บุรี'!M96+'สุพรรณบุรี'!M96+'อ่างทอง'!M96</f>
        <v>433480</v>
      </c>
      <c r="N96" s="188">
        <f>'กาญจนบุรี'!N96+'จันทบุรี'!N96+'ฉะเชิงเทรา'!N96+'ชลบุรี'!N96+'ชัยนาท'!N96+'ตราด'!N96+'นครนายก'!N96+'นครปฐม'!N96+'ปทุมธานี'!N96+'ประจวบคีรีขันธ์'!N96+'ปราจีนบุรี'!N96+'พระนครศรีอยุธยา'!N96+'เพชรบุรี'!N96+'ระยอง'!N96+'ราชบุรี'!N96+'ลพบุรี'!N96+'สระแก้ว'!N96+'สระบุรี'!N96+'สิงห์บุรี'!N96+'สุพรรณบุรี'!N96+'อ่างทอง'!N96</f>
        <v>299789</v>
      </c>
      <c r="O96" s="187">
        <f t="shared" si="19"/>
        <v>20.06969084</v>
      </c>
      <c r="P96" s="187">
        <f t="shared" si="20"/>
        <v>69.15866937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f>'กาญจนบุรี'!L97+'จันทบุรี'!L97+'ฉะเชิงเทรา'!L97+'ชลบุรี'!L97+'ชัยนาท'!L97+'ตราด'!L97+'นครนายก'!L97+'นครปฐม'!L97+'ปทุมธานี'!L97+'ประจวบคีรีขันธ์'!L97+'ปราจีนบุรี'!L97+'พระนครศรีอยุธยา'!L97+'เพชรบุรี'!L97+'ระยอง'!L97+'ราชบุรี'!L97+'ลพบุรี'!L97+'สระแก้ว'!L97+'สระบุรี'!L97+'สิงห์บุรี'!L97+'สุพรรณบุรี'!L97+'อ่างทอง'!L97</f>
        <v>0</v>
      </c>
      <c r="M97" s="197">
        <f>'กาญจนบุรี'!M97+'จันทบุรี'!M97+'ฉะเชิงเทรา'!M97+'ชลบุรี'!M97+'ชัยนาท'!M97+'ตราด'!M97+'นครนายก'!M97+'นครปฐม'!M97+'ปทุมธานี'!M97+'ประจวบคีรีขันธ์'!M97+'ปราจีนบุรี'!M97+'พระนครศรีอยุธยา'!M97+'เพชรบุรี'!M97+'ระยอง'!M97+'ราชบุรี'!M97+'ลพบุรี'!M97+'สระแก้ว'!M97+'สระบุรี'!M97+'สิงห์บุรี'!M97+'สุพรรณบุรี'!M97+'อ่างทอง'!M97</f>
        <v>0</v>
      </c>
      <c r="N97" s="197">
        <f>'กาญจนบุรี'!N97+'จันทบุรี'!N97+'ฉะเชิงเทรา'!N97+'ชลบุรี'!N97+'ชัยนาท'!N97+'ตราด'!N97+'นครนายก'!N97+'นครปฐม'!N97+'ปทุมธานี'!N97+'ประจวบคีรีขันธ์'!N97+'ปราจีนบุรี'!N97+'พระนครศรีอยุธยา'!N97+'เพชรบุรี'!N97+'ระยอง'!N97+'ราชบุรี'!N97+'ลพบุรี'!N97+'สระแก้ว'!N97+'สระบุรี'!N97+'สิงห์บุรี'!N97+'สุพรรณบุรี'!N97+'อ่างทอง'!N97</f>
        <v>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'กาญจนบุรี'!L98+'จันทบุรี'!L98+'ฉะเชิงเทรา'!L98+'ชลบุรี'!L98+'ชัยนาท'!L98+'ตราด'!L98+'นครนายก'!L98+'นครปฐม'!L98+'ปทุมธานี'!L98+'ประจวบคีรีขันธ์'!L98+'ปราจีนบุรี'!L98+'พระนครศรีอยุธยา'!L98+'เพชรบุรี'!L98+'ระยอง'!L98+'ราชบุรี'!L98+'ลพบุรี'!L98+'สระแก้ว'!L98+'สระบุรี'!L98+'สิงห์บุรี'!L98+'สุพรรณบุรี'!L98+'อ่างทอง'!L98</f>
        <v>754540</v>
      </c>
      <c r="M98" s="201">
        <f>'กาญจนบุรี'!M98+'จันทบุรี'!M98+'ฉะเชิงเทรา'!M98+'ชลบุรี'!M98+'ชัยนาท'!M98+'ตราด'!M98+'นครนายก'!M98+'นครปฐม'!M98+'ปทุมธานี'!M98+'ประจวบคีรีขันธ์'!M98+'ปราจีนบุรี'!M98+'พระนครศรีอยุธยา'!M98+'เพชรบุรี'!M98+'ระยอง'!M98+'ราชบุรี'!M98+'ลพบุรี'!M98+'สระแก้ว'!M98+'สระบุรี'!M98+'สิงห์บุรี'!M98+'สุพรรณบุรี'!M98+'อ่างทอง'!M98</f>
        <v>433480</v>
      </c>
      <c r="N98" s="202">
        <f>'กาญจนบุรี'!N98+'จันทบุรี'!N98+'ฉะเชิงเทรา'!N98+'ชลบุรี'!N98+'ชัยนาท'!N98+'ตราด'!N98+'นครนายก'!N98+'นครปฐม'!N98+'ปทุมธานี'!N98+'ประจวบคีรีขันธ์'!N98+'ปราจีนบุรี'!N98+'พระนครศรีอยุธยา'!N98+'เพชรบุรี'!N98+'ระยอง'!N98+'ราชบุรี'!N98+'ลพบุรี'!N98+'สระแก้ว'!N98+'สระบุรี'!N98+'สิงห์บุรี'!N98+'สุพรรณบุรี'!N98+'อ่างทอง'!N98</f>
        <v>114989</v>
      </c>
      <c r="O98" s="203">
        <f>IF(L98&gt;0,N98*100/L98,0)</f>
        <v>15.23961619</v>
      </c>
      <c r="P98" s="203">
        <f>IF(M98&gt;0,N98*100/M98,0)</f>
        <v>26.52694473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'กาญจนบุรี'!L99+'จันทบุรี'!L99+'ฉะเชิงเทรา'!L99+'ชลบุรี'!L99+'ชัยนาท'!L99+'ตราด'!L99+'นครนายก'!L99+'นครปฐม'!L99+'ปทุมธานี'!L99+'ประจวบคีรีขันธ์'!L99+'ปราจีนบุรี'!L99+'พระนครศรีอยุธยา'!L99+'เพชรบุรี'!L99+'ระยอง'!L99+'ราชบุรี'!L99+'ลพบุรี'!L99+'สระแก้ว'!L99+'สระบุรี'!L99+'สิงห์บุรี'!L99+'สุพรรณบุรี'!L99+'อ่างทอง'!L99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'กาญจนบุรี'!L100+'จันทบุรี'!L100+'ฉะเชิงเทรา'!L100+'ชลบุรี'!L100+'ชัยนาท'!L100+'ตราด'!L100+'นครนายก'!L100+'นครปฐม'!L100+'ปทุมธานี'!L100+'ประจวบคีรีขันธ์'!L100+'ปราจีนบุรี'!L100+'พระนครศรีอยุธยา'!L100+'เพชรบุรี'!L100+'ระยอง'!L100+'ราชบุรี'!L100+'ลพบุรี'!L100+'สระแก้ว'!L100+'สระบุรี'!L100+'สิงห์บุรี'!L100+'สุพรรณบุรี'!L100+'อ่างทอง'!L100</f>
        <v>754540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f>'กาญจนบุรี'!L101+'จันทบุรี'!L101+'ฉะเชิงเทรา'!L101+'ชลบุรี'!L101+'ชัยนาท'!L101+'ตราด'!L101+'นครนายก'!L101+'นครปฐม'!L101+'ปทุมธานี'!L101+'ประจวบคีรีขันธ์'!L101+'ปราจีนบุรี'!L101+'พระนครศรีอยุธยา'!L101+'เพชรบุรี'!L101+'ระยอง'!L101+'ราชบุรี'!L101+'ลพบุรี'!L101+'สระแก้ว'!L101+'สระบุรี'!L101+'สิงห์บุรี'!L101+'สุพรรณบุรี'!L101+'อ่างทอง'!L101</f>
        <v>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'กาญจนบุรี'!L102+'จันทบุรี'!L102+'ฉะเชิงเทรา'!L102+'ชลบุรี'!L102+'ชัยนาท'!L102+'ตราด'!L102+'นครนายก'!L102+'นครปฐม'!L102+'ปทุมธานี'!L102+'ประจวบคีรีขันธ์'!L102+'ปราจีนบุรี'!L102+'พระนครศรีอยุธยา'!L102+'เพชรบุรี'!L102+'ระยอง'!L102+'ราชบุรี'!L102+'ลพบุรี'!L102+'สระแก้ว'!L102+'สระบุรี'!L102+'สิงห์บุรี'!L102+'สุพรรณบุรี'!L102+'อ่างทอง'!L102</f>
        <v>739200</v>
      </c>
      <c r="M102" s="125"/>
      <c r="N102" s="115">
        <f>'กาญจนบุรี'!N102+'จันทบุรี'!N102+'ฉะเชิงเทรา'!N102+'ชลบุรี'!N102+'ชัยนาท'!N102+'ตราด'!N102+'นครนายก'!N102+'นครปฐม'!N102+'ปทุมธานี'!N102+'ประจวบคีรีขันธ์'!N102+'ปราจีนบุรี'!N102+'พระนครศรีอยุธยา'!N102+'เพชรบุรี'!N102+'ระยอง'!N102+'ราชบุรี'!N102+'ลพบุรี'!N102+'สระแก้ว'!N102+'สระบุรี'!N102+'สิงห์บุรี'!N102+'สุพรรณบุรี'!N102+'อ่างทอง'!N102</f>
        <v>184800</v>
      </c>
      <c r="O102" s="125">
        <f>IF(L102&gt;0,N102*100/L102,0)</f>
        <v>25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'กาญจนบุรี'!J104+'จันทบุรี'!J104+'ฉะเชิงเทรา'!J104+'ชลบุรี'!J104+'ชัยนาท'!J104+'ตราด'!J104+'นครนายก'!J104+'นครปฐม'!J104+'ปทุมธานี'!J104+'ประจวบคีรีขันธ์'!J104+'ปราจีนบุรี'!J104+'พระนครศรีอยุธยา'!J104+'เพชรบุรี'!J104+'ระยอง'!J104+'ราชบุรี'!J104+'ลพบุรี'!J104+'สระแก้ว'!J104+'สระบุรี'!J104+'สิงห์บุรี'!J104+'สุพรรณบุรี'!J104+'อ่างทอง'!J104</f>
        <v>1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'กาญจนบุรี'!J105+'จันทบุรี'!J105+'ฉะเชิงเทรา'!J105+'ชลบุรี'!J105+'ชัยนาท'!J105+'ตราด'!J105+'นครนายก'!J105+'นครปฐม'!J105+'ปทุมธานี'!J105+'ประจวบคีรีขันธ์'!J105+'ปราจีนบุรี'!J105+'พระนครศรีอยุธยา'!J105+'เพชรบุรี'!J105+'ระยอง'!J105+'ราชบุรี'!J105+'ลพบุรี'!J105+'สระแก้ว'!J105+'สระบุรี'!J105+'สิงห์บุรี'!J105+'สุพรรณบุรี'!J105+'อ่างทอง'!J105</f>
        <v>5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'กาญจนบุรี'!J106+'จันทบุรี'!J106+'ฉะเชิงเทรา'!J106+'ชลบุรี'!J106+'ชัยนาท'!J106+'ตราด'!J106+'นครนายก'!J106+'นครปฐม'!J106+'ปทุมธานี'!J106+'ประจวบคีรีขันธ์'!J106+'ปราจีนบุรี'!J106+'พระนครศรีอยุธยา'!J106+'เพชรบุรี'!J106+'ระยอง'!J106+'ราชบุรี'!J106+'ลพบุรี'!J106+'สระแก้ว'!J106+'สระบุรี'!J106+'สิงห์บุรี'!J106+'สุพรรณบุรี'!J106+'อ่างทอง'!J106</f>
        <v>5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'กาญจนบุรี'!J107+'จันทบุรี'!J107+'ฉะเชิงเทรา'!J107+'ชลบุรี'!J107+'ชัยนาท'!J107+'ตราด'!J107+'นครนายก'!J107+'นครปฐม'!J107+'ปทุมธานี'!J107+'ประจวบคีรีขันธ์'!J107+'ปราจีนบุรี'!J107+'พระนครศรีอยุธยา'!J107+'เพชรบุรี'!J107+'ระยอง'!J107+'ราชบุรี'!J107+'ลพบุรี'!J107+'สระแก้ว'!J107+'สระบุรี'!J107+'สิงห์บุรี'!J107+'สุพรรณบุรี'!J107+'อ่างทอง'!J107</f>
        <v>4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'กาญจนบุรี'!I108+'จันทบุรี'!I108+'ฉะเชิงเทรา'!I108+'ชลบุรี'!I108+'ชัยนาท'!I108+'ตราด'!I108+'นครนายก'!I108+'นครปฐม'!I108+'ปทุมธานี'!I108+'ประจวบคีรีขันธ์'!I108+'ปราจีนบุรี'!I108+'พระนครศรีอยุธยา'!I108+'เพชรบุรี'!I108+'ระยอง'!I108+'ราชบุรี'!I108+'ลพบุรี'!I108+'สระแก้ว'!I108+'สระบุรี'!I108+'สิงห์บุรี'!I108+'สุพรรณบุรี'!I108+'อ่างทอง'!I108</f>
        <v>6</v>
      </c>
      <c r="J108" s="238">
        <f>'กาญจนบุรี'!J108+'จันทบุรี'!J108+'ฉะเชิงเทรา'!J108+'ชลบุรี'!J108+'ชัยนาท'!J108+'ตราด'!J108+'นครนายก'!J108+'นครปฐม'!J108+'ปทุมธานี'!J108+'ประจวบคีรีขันธ์'!J108+'ปราจีนบุรี'!J108+'พระนครศรีอยุธยา'!J108+'เพชรบุรี'!J108+'ระยอง'!J108+'ราชบุรี'!J108+'ลพบุรี'!J108+'สระแก้ว'!J108+'สระบุรี'!J108+'สิงห์บุรี'!J108+'สุพรรณบุรี'!J108+'อ่างทอง'!J108</f>
        <v>3</v>
      </c>
      <c r="K108" s="258">
        <f t="shared" ref="K108:K113" si="21">IF(I108&gt;0,J108*100/I108,0)</f>
        <v>50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'กาญจนบุรี'!I109+'จันทบุรี'!I109+'ฉะเชิงเทรา'!I109+'ชลบุรี'!I109+'ชัยนาท'!I109+'ตราด'!I109+'นครนายก'!I109+'นครปฐม'!I109+'ปทุมธานี'!I109+'ประจวบคีรีขันธ์'!I109+'ปราจีนบุรี'!I109+'พระนครศรีอยุธยา'!I109+'เพชรบุรี'!I109+'ระยอง'!I109+'ราชบุรี'!I109+'ลพบุรี'!I109+'สระแก้ว'!I109+'สระบุรี'!I109+'สิงห์บุรี'!I109+'สุพรรณบุรี'!I109+'อ่างทอง'!I109</f>
        <v>29</v>
      </c>
      <c r="J109" s="238">
        <f>'กาญจนบุรี'!J109+'จันทบุรี'!J109+'ฉะเชิงเทรา'!J109+'ชลบุรี'!J109+'ชัยนาท'!J109+'ตราด'!J109+'นครนายก'!J109+'นครปฐม'!J109+'ปทุมธานี'!J109+'ประจวบคีรีขันธ์'!J109+'ปราจีนบุรี'!J109+'พระนครศรีอยุธยา'!J109+'เพชรบุรี'!J109+'ระยอง'!J109+'ราชบุรี'!J109+'ลพบุรี'!J109+'สระแก้ว'!J109+'สระบุรี'!J109+'สิงห์บุรี'!J109+'สุพรรณบุรี'!J109+'อ่างทอง'!J109</f>
        <v>14</v>
      </c>
      <c r="K109" s="258">
        <f t="shared" si="21"/>
        <v>48.27586207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'กาญจนบุรี'!I110+'จันทบุรี'!I110+'ฉะเชิงเทรา'!I110+'ชลบุรี'!I110+'ชัยนาท'!I110+'ตราด'!I110+'นครนายก'!I110+'นครปฐม'!I110+'ปทุมธานี'!I110+'ประจวบคีรีขันธ์'!I110+'ปราจีนบุรี'!I110+'พระนครศรีอยุธยา'!I110+'เพชรบุรี'!I110+'ระยอง'!I110+'ราชบุรี'!I110+'ลพบุรี'!I110+'สระแก้ว'!I110+'สระบุรี'!I110+'สิงห์บุรี'!I110+'สุพรรณบุรี'!I110+'อ่างทอง'!I110</f>
        <v>29</v>
      </c>
      <c r="J110" s="238">
        <f>'กาญจนบุรี'!J110+'จันทบุรี'!J110+'ฉะเชิงเทรา'!J110+'ชลบุรี'!J110+'ชัยนาท'!J110+'ตราด'!J110+'นครนายก'!J110+'นครปฐม'!J110+'ปทุมธานี'!J110+'ประจวบคีรีขันธ์'!J110+'ปราจีนบุรี'!J110+'พระนครศรีอยุธยา'!J110+'เพชรบุรี'!J110+'ระยอง'!J110+'ราชบุรี'!J110+'ลพบุรี'!J110+'สระแก้ว'!J110+'สระบุรี'!J110+'สิงห์บุรี'!J110+'สุพรรณบุรี'!J110+'อ่างทอง'!J110</f>
        <v>17</v>
      </c>
      <c r="K110" s="258">
        <f t="shared" si="21"/>
        <v>58.62068966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'กาญจนบุรี'!I111+'จันทบุรี'!I111+'ฉะเชิงเทรา'!I111+'ชลบุรี'!I111+'ชัยนาท'!I111+'ตราด'!I111+'นครนายก'!I111+'นครปฐม'!I111+'ปทุมธานี'!I111+'ประจวบคีรีขันธ์'!I111+'ปราจีนบุรี'!I111+'พระนครศรีอยุธยา'!I111+'เพชรบุรี'!I111+'ระยอง'!I111+'ราชบุรี'!I111+'ลพบุรี'!I111+'สระแก้ว'!I111+'สระบุรี'!I111+'สิงห์บุรี'!I111+'สุพรรณบุรี'!I111+'อ่างทอง'!I111</f>
        <v>29</v>
      </c>
      <c r="J111" s="238">
        <f>'กาญจนบุรี'!J111+'จันทบุรี'!J111+'ฉะเชิงเทรา'!J111+'ชลบุรี'!J111+'ชัยนาท'!J111+'ตราด'!J111+'นครนายก'!J111+'นครปฐม'!J111+'ปทุมธานี'!J111+'ประจวบคีรีขันธ์'!J111+'ปราจีนบุรี'!J111+'พระนครศรีอยุธยา'!J111+'เพชรบุรี'!J111+'ระยอง'!J111+'ราชบุรี'!J111+'ลพบุรี'!J111+'สระแก้ว'!J111+'สระบุรี'!J111+'สิงห์บุรี'!J111+'สุพรรณบุรี'!J111+'อ่างทอง'!J111</f>
        <v>10</v>
      </c>
      <c r="K111" s="258">
        <f t="shared" si="21"/>
        <v>34.48275862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'กาญจนบุรี'!I112+'จันทบุรี'!I112+'ฉะเชิงเทรา'!I112+'ชลบุรี'!I112+'ชัยนาท'!I112+'ตราด'!I112+'นครนายก'!I112+'นครปฐม'!I112+'ปทุมธานี'!I112+'ประจวบคีรีขันธ์'!I112+'ปราจีนบุรี'!I112+'พระนครศรีอยุธยา'!I112+'เพชรบุรี'!I112+'ระยอง'!I112+'ราชบุรี'!I112+'ลพบุรี'!I112+'สระแก้ว'!I112+'สระบุรี'!I112+'สิงห์บุรี'!I112+'สุพรรณบุรี'!I112+'อ่างทอง'!I112</f>
        <v>29</v>
      </c>
      <c r="J112" s="238">
        <f>'กาญจนบุรี'!J112+'จันทบุรี'!J112+'ฉะเชิงเทรา'!J112+'ชลบุรี'!J112+'ชัยนาท'!J112+'ตราด'!J112+'นครนายก'!J112+'นครปฐม'!J112+'ปทุมธานี'!J112+'ประจวบคีรีขันธ์'!J112+'ปราจีนบุรี'!J112+'พระนครศรีอยุธยา'!J112+'เพชรบุรี'!J112+'ระยอง'!J112+'ราชบุรี'!J112+'ลพบุรี'!J112+'สระแก้ว'!J112+'สระบุรี'!J112+'สิงห์บุรี'!J112+'สุพรรณบุรี'!J112+'อ่างทอง'!J112</f>
        <v>0</v>
      </c>
      <c r="K112" s="258">
        <f t="shared" si="21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'กาญจนบุรี'!I113+'จันทบุรี'!I113+'ฉะเชิงเทรา'!I113+'ชลบุรี'!I113+'ชัยนาท'!I113+'ตราด'!I113+'นครนายก'!I113+'นครปฐม'!I113+'ปทุมธานี'!I113+'ประจวบคีรีขันธ์'!I113+'ปราจีนบุรี'!I113+'พระนครศรีอยุธยา'!I113+'เพชรบุรี'!I113+'ระยอง'!I113+'ราชบุรี'!I113+'ลพบุรี'!I113+'สระแก้ว'!I113+'สระบุรี'!I113+'สิงห์บุรี'!I113+'สุพรรณบุรี'!I113+'อ่างทอง'!I113</f>
        <v>8</v>
      </c>
      <c r="J113" s="238">
        <f>'กาญจนบุรี'!J113+'จันทบุรี'!J113+'ฉะเชิงเทรา'!J113+'ชลบุรี'!J113+'ชัยนาท'!J113+'ตราด'!J113+'นครนายก'!J113+'นครปฐม'!J113+'ปทุมธานี'!J113+'ประจวบคีรีขันธ์'!J113+'ปราจีนบุรี'!J113+'พระนครศรีอยุธยา'!J113+'เพชรบุรี'!J113+'ระยอง'!J113+'ราชบุรี'!J113+'ลพบุรี'!J113+'สระแก้ว'!J113+'สระบุรี'!J113+'สิงห์บุรี'!J113+'สุพรรณบุรี'!J113+'อ่างทอง'!J113</f>
        <v>0</v>
      </c>
      <c r="K113" s="258">
        <f t="shared" si="21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'กาญจนบุรี'!J114+'จันทบุรี'!J114+'ฉะเชิงเทรา'!J114+'ชลบุรี'!J114+'ชัยนาท'!J114+'ตราด'!J114+'นครนายก'!J114+'นครปฐม'!J114+'ปทุมธานี'!J114+'ประจวบคีรีขันธ์'!J114+'ปราจีนบุรี'!J114+'พระนครศรีอยุธยา'!J114+'เพชรบุรี'!J114+'ระยอง'!J114+'ราชบุรี'!J114+'ลพบุรี'!J114+'สระแก้ว'!J114+'สระบุรี'!J114+'สิงห์บุรี'!J114+'สุพรรณบุรี'!J114+'อ่างทอง'!J114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'กาญจนบุรี'!J115+'จันทบุรี'!J115+'ฉะเชิงเทรา'!J115+'ชลบุรี'!J115+'ชัยนาท'!J115+'ตราด'!J115+'นครนายก'!J115+'นครปฐม'!J115+'ปทุมธานี'!J115+'ประจวบคีรีขันธ์'!J115+'ปราจีนบุรี'!J115+'พระนครศรีอยุธยา'!J115+'เพชรบุรี'!J115+'ระยอง'!J115+'ราชบุรี'!J115+'ลพบุรี'!J115+'สระแก้ว'!J115+'สระบุรี'!J115+'สิงห์บุรี'!J115+'สุพรรณบุรี'!J115+'อ่างทอง'!J115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'กาญจนบุรี'!I117+'จันทบุรี'!I117+'ฉะเชิงเทรา'!I117+'ชลบุรี'!I117+'ชัยนาท'!I117+'ตราด'!I117+'นครนายก'!I117+'นครปฐม'!I117+'ปทุมธานี'!I117+'ประจวบคีรีขันธ์'!I117+'ปราจีนบุรี'!I117+'พระนครศรีอยุธยา'!I117+'เพชรบุรี'!I117+'ระยอง'!I117+'ราชบุรี'!I117+'ลพบุรี'!I117+'สระแก้ว'!I117+'สระบุรี'!I117+'สิงห์บุรี'!I117+'สุพรรณบุรี'!I117+'อ่างทอง'!I117</f>
        <v>105</v>
      </c>
      <c r="J117" s="172">
        <f>'กาญจนบุรี'!J117+'จันทบุรี'!J117+'ฉะเชิงเทรา'!J117+'ชลบุรี'!J117+'ชัยนาท'!J117+'ตราด'!J117+'นครนายก'!J117+'นครปฐม'!J117+'ปทุมธานี'!J117+'ประจวบคีรีขันธ์'!J117+'ปราจีนบุรี'!J117+'พระนครศรีอยุธยา'!J117+'เพชรบุรี'!J117+'ระยอง'!J117+'ราชบุรี'!J117+'ลพบุรี'!J117+'สระแก้ว'!J117+'สระบุรี'!J117+'สิงห์บุรี'!J117+'สุพรรณบุรี'!J117+'อ่างทอง'!J117</f>
        <v>55</v>
      </c>
      <c r="K117" s="173">
        <f>IF(I117&gt;0,J117*100/I117,0)</f>
        <v>52.38095238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>'กาญจนบุรี'!L118+'จันทบุรี'!L118+'ฉะเชิงเทรา'!L118+'ชลบุรี'!L118+'ชัยนาท'!L118+'ตราด'!L118+'นครนายก'!L118+'นครปฐม'!L118+'ปทุมธานี'!L118+'ประจวบคีรีขันธ์'!L118+'ปราจีนบุรี'!L118+'พระนครศรีอยุธยา'!L118+'เพชรบุรี'!L118+'ระยอง'!L118+'ราชบุรี'!L118+'ลพบุรี'!L118+'สระแก้ว'!L118+'สระบุรี'!L118+'สิงห์บุรี'!L118+'สุพรรณบุรี'!L118+'อ่างทอง'!L118</f>
        <v>441990</v>
      </c>
      <c r="M118" s="183">
        <f>'กาญจนบุรี'!M118+'จันทบุรี'!M118+'ฉะเชิงเทรา'!M118+'ชลบุรี'!M118+'ชัยนาท'!M118+'ตราด'!M118+'นครนายก'!M118+'นครปฐม'!M118+'ปทุมธานี'!M118+'ประจวบคีรีขันธ์'!M118+'ปราจีนบุรี'!M118+'พระนครศรีอยุธยา'!M118+'เพชรบุรี'!M118+'ระยอง'!M118+'ราชบุรี'!M118+'ลพบุรี'!M118+'สระแก้ว'!M118+'สระบุรี'!M118+'สิงห์บุรี'!M118+'สุพรรณบุรี'!M118+'อ่างทอง'!M118</f>
        <v>357990</v>
      </c>
      <c r="N118" s="183">
        <f>'กาญจนบุรี'!N118+'จันทบุรี'!N118+'ฉะเชิงเทรา'!N118+'ชลบุรี'!N118+'ชัยนาท'!N118+'ตราด'!N118+'นครนายก'!N118+'นครปฐม'!N118+'ปทุมธานี'!N118+'ประจวบคีรีขันธ์'!N118+'ปราจีนบุรี'!N118+'พระนครศรีอยุธยา'!N118+'เพชรบุรี'!N118+'ระยอง'!N118+'ราชบุรี'!N118+'ลพบุรี'!N118+'สระแก้ว'!N118+'สระบุรี'!N118+'สิงห์บุรี'!N118+'สุพรรณบุรี'!N118+'อ่างทอง'!N118</f>
        <v>130354</v>
      </c>
      <c r="O118" s="182">
        <f t="shared" ref="O118:O120" si="22">IF(L118&gt;0,N118*100/L118,0)</f>
        <v>29.49252246</v>
      </c>
      <c r="P118" s="182">
        <f t="shared" ref="P118:P120" si="23">IF(M118&gt;0,N118*100/M118,0)</f>
        <v>36.41274896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>'กาญจนบุรี'!L119+'จันทบุรี'!L119+'ฉะเชิงเทรา'!L119+'ชลบุรี'!L119+'ชัยนาท'!L119+'ตราด'!L119+'นครนายก'!L119+'นครปฐม'!L119+'ปทุมธานี'!L119+'ประจวบคีรีขันธ์'!L119+'ปราจีนบุรี'!L119+'พระนครศรีอยุธยา'!L119+'เพชรบุรี'!L119+'ระยอง'!L119+'ราชบุรี'!L119+'ลพบุรี'!L119+'สระแก้ว'!L119+'สระบุรี'!L119+'สิงห์บุรี'!L119+'สุพรรณบุรี'!L119+'อ่างทอง'!L119</f>
        <v>0</v>
      </c>
      <c r="M119" s="188">
        <f>'กาญจนบุรี'!M119+'จันทบุรี'!M119+'ฉะเชิงเทรา'!M119+'ชลบุรี'!M119+'ชัยนาท'!M119+'ตราด'!M119+'นครนายก'!M119+'นครปฐม'!M119+'ปทุมธานี'!M119+'ประจวบคีรีขันธ์'!M119+'ปราจีนบุรี'!M119+'พระนครศรีอยุธยา'!M119+'เพชรบุรี'!M119+'ระยอง'!M119+'ราชบุรี'!M119+'ลพบุรี'!M119+'สระแก้ว'!M119+'สระบุรี'!M119+'สิงห์บุรี'!M119+'สุพรรณบุรี'!M119+'อ่างทอง'!M119</f>
        <v>0</v>
      </c>
      <c r="N119" s="188">
        <f>'กาญจนบุรี'!N119+'จันทบุรี'!N119+'ฉะเชิงเทรา'!N119+'ชลบุรี'!N119+'ชัยนาท'!N119+'ตราด'!N119+'นครนายก'!N119+'นครปฐม'!N119+'ปทุมธานี'!N119+'ประจวบคีรีขันธ์'!N119+'ปราจีนบุรี'!N119+'พระนครศรีอยุธยา'!N119+'เพชรบุรี'!N119+'ระยอง'!N119+'ราชบุรี'!N119+'ลพบุรี'!N119+'สระแก้ว'!N119+'สระบุรี'!N119+'สิงห์บุรี'!N119+'สุพรรณบุรี'!N119+'อ่างทอง'!N119</f>
        <v>0</v>
      </c>
      <c r="O119" s="187">
        <f t="shared" si="22"/>
        <v>0</v>
      </c>
      <c r="P119" s="187">
        <f t="shared" si="23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>'กาญจนบุรี'!L120+'จันทบุรี'!L120+'ฉะเชิงเทรา'!L120+'ชลบุรี'!L120+'ชัยนาท'!L120+'ตราด'!L120+'นครนายก'!L120+'นครปฐม'!L120+'ปทุมธานี'!L120+'ประจวบคีรีขันธ์'!L120+'ปราจีนบุรี'!L120+'พระนครศรีอยุธยา'!L120+'เพชรบุรี'!L120+'ระยอง'!L120+'ราชบุรี'!L120+'ลพบุรี'!L120+'สระแก้ว'!L120+'สระบุรี'!L120+'สิงห์บุรี'!L120+'สุพรรณบุรี'!L120+'อ่างทอง'!L120</f>
        <v>441990</v>
      </c>
      <c r="M120" s="188">
        <f>'กาญจนบุรี'!M120+'จันทบุรี'!M120+'ฉะเชิงเทรา'!M120+'ชลบุรี'!M120+'ชัยนาท'!M120+'ตราด'!M120+'นครนายก'!M120+'นครปฐม'!M120+'ปทุมธานี'!M120+'ประจวบคีรีขันธ์'!M120+'ปราจีนบุรี'!M120+'พระนครศรีอยุธยา'!M120+'เพชรบุรี'!M120+'ระยอง'!M120+'ราชบุรี'!M120+'ลพบุรี'!M120+'สระแก้ว'!M120+'สระบุรี'!M120+'สิงห์บุรี'!M120+'สุพรรณบุรี'!M120+'อ่างทอง'!M120</f>
        <v>357990</v>
      </c>
      <c r="N120" s="188">
        <f>'กาญจนบุรี'!N120+'จันทบุรี'!N120+'ฉะเชิงเทรา'!N120+'ชลบุรี'!N120+'ชัยนาท'!N120+'ตราด'!N120+'นครนายก'!N120+'นครปฐม'!N120+'ปทุมธานี'!N120+'ประจวบคีรีขันธ์'!N120+'ปราจีนบุรี'!N120+'พระนครศรีอยุธยา'!N120+'เพชรบุรี'!N120+'ระยอง'!N120+'ราชบุรี'!N120+'ลพบุรี'!N120+'สระแก้ว'!N120+'สระบุรี'!N120+'สิงห์บุรี'!N120+'สุพรรณบุรี'!N120+'อ่างทอง'!N120</f>
        <v>130354</v>
      </c>
      <c r="O120" s="187">
        <f t="shared" si="22"/>
        <v>29.49252246</v>
      </c>
      <c r="P120" s="187">
        <f t="shared" si="23"/>
        <v>36.41274896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f>'กาญจนบุรี'!L121+'จันทบุรี'!L121+'ฉะเชิงเทรา'!L121+'ชลบุรี'!L121+'ชัยนาท'!L121+'ตราด'!L121+'นครนายก'!L121+'นครปฐม'!L121+'ปทุมธานี'!L121+'ประจวบคีรีขันธ์'!L121+'ปราจีนบุรี'!L121+'พระนครศรีอยุธยา'!L121+'เพชรบุรี'!L121+'ระยอง'!L121+'ราชบุรี'!L121+'ลพบุรี'!L121+'สระแก้ว'!L121+'สระบุรี'!L121+'สิงห์บุรี'!L121+'สุพรรณบุรี'!L121+'อ่างทอง'!L121</f>
        <v>0</v>
      </c>
      <c r="M121" s="197">
        <f>'กาญจนบุรี'!M121+'จันทบุรี'!M121+'ฉะเชิงเทรา'!M121+'ชลบุรี'!M121+'ชัยนาท'!M121+'ตราด'!M121+'นครนายก'!M121+'นครปฐม'!M121+'ปทุมธานี'!M121+'ประจวบคีรีขันธ์'!M121+'ปราจีนบุรี'!M121+'พระนครศรีอยุธยา'!M121+'เพชรบุรี'!M121+'ระยอง'!M121+'ราชบุรี'!M121+'ลพบุรี'!M121+'สระแก้ว'!M121+'สระบุรี'!M121+'สิงห์บุรี'!M121+'สุพรรณบุรี'!M121+'อ่างทอง'!M121</f>
        <v>0</v>
      </c>
      <c r="N121" s="197">
        <f>'กาญจนบุรี'!N121+'จันทบุรี'!N121+'ฉะเชิงเทรา'!N121+'ชลบุรี'!N121+'ชัยนาท'!N121+'ตราด'!N121+'นครนายก'!N121+'นครปฐม'!N121+'ปทุมธานี'!N121+'ประจวบคีรีขันธ์'!N121+'ปราจีนบุรี'!N121+'พระนครศรีอยุธยา'!N121+'เพชรบุรี'!N121+'ระยอง'!N121+'ราชบุรี'!N121+'ลพบุรี'!N121+'สระแก้ว'!N121+'สระบุรี'!N121+'สิงห์บุรี'!N121+'สุพรรณบุรี'!N121+'อ่างทอง'!N121</f>
        <v>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'กาญจนบุรี'!L122+'จันทบุรี'!L122+'ฉะเชิงเทรา'!L122+'ชลบุรี'!L122+'ชัยนาท'!L122+'ตราด'!L122+'นครนายก'!L122+'นครปฐม'!L122+'ปทุมธานี'!L122+'ประจวบคีรีขันธ์'!L122+'ปราจีนบุรี'!L122+'พระนครศรีอยุธยา'!L122+'เพชรบุรี'!L122+'ระยอง'!L122+'ราชบุรี'!L122+'ลพบุรี'!L122+'สระแก้ว'!L122+'สระบุรี'!L122+'สิงห์บุรี'!L122+'สุพรรณบุรี'!L122+'อ่างทอง'!L122</f>
        <v>441990</v>
      </c>
      <c r="M122" s="201">
        <f>'กาญจนบุรี'!M122+'จันทบุรี'!M122+'ฉะเชิงเทรา'!M122+'ชลบุรี'!M122+'ชัยนาท'!M122+'ตราด'!M122+'นครนายก'!M122+'นครปฐม'!M122+'ปทุมธานี'!M122+'ประจวบคีรีขันธ์'!M122+'ปราจีนบุรี'!M122+'พระนครศรีอยุธยา'!M122+'เพชรบุรี'!M122+'ระยอง'!M122+'ราชบุรี'!M122+'ลพบุรี'!M122+'สระแก้ว'!M122+'สระบุรี'!M122+'สิงห์บุรี'!M122+'สุพรรณบุรี'!M122+'อ่างทอง'!M122</f>
        <v>357990</v>
      </c>
      <c r="N122" s="202">
        <f>'กาญจนบุรี'!N122+'จันทบุรี'!N122+'ฉะเชิงเทรา'!N122+'ชลบุรี'!N122+'ชัยนาท'!N122+'ตราด'!N122+'นครนายก'!N122+'นครปฐม'!N122+'ปทุมธานี'!N122+'ประจวบคีรีขันธ์'!N122+'ปราจีนบุรี'!N122+'พระนครศรีอยุธยา'!N122+'เพชรบุรี'!N122+'ระยอง'!N122+'ราชบุรี'!N122+'ลพบุรี'!N122+'สระแก้ว'!N122+'สระบุรี'!N122+'สิงห์บุรี'!N122+'สุพรรณบุรี'!N122+'อ่างทอง'!N122</f>
        <v>130354</v>
      </c>
      <c r="O122" s="203">
        <f>IF(L122&gt;0,N122*100/L122,0)</f>
        <v>29.49252246</v>
      </c>
      <c r="P122" s="203">
        <f>IF(M122&gt;0,N122*100/M122,0)</f>
        <v>36.41274896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'กาญจนบุรี'!L123+'จันทบุรี'!L123+'ฉะเชิงเทรา'!L123+'ชลบุรี'!L123+'ชัยนาท'!L123+'ตราด'!L123+'นครนายก'!L123+'นครปฐม'!L123+'ปทุมธานี'!L123+'ประจวบคีรีขันธ์'!L123+'ปราจีนบุรี'!L123+'พระนครศรีอยุธยา'!L123+'เพชรบุรี'!L123+'ระยอง'!L123+'ราชบุรี'!L123+'ลพบุรี'!L123+'สระแก้ว'!L123+'สระบุรี'!L123+'สิงห์บุรี'!L123+'สุพรรณบุรี'!L123+'อ่างทอง'!L123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'กาญจนบุรี'!L124+'จันทบุรี'!L124+'ฉะเชิงเทรา'!L124+'ชลบุรี'!L124+'ชัยนาท'!L124+'ตราด'!L124+'นครนายก'!L124+'นครปฐม'!L124+'ปทุมธานี'!L124+'ประจวบคีรีขันธ์'!L124+'ปราจีนบุรี'!L124+'พระนครศรีอยุธยา'!L124+'เพชรบุรี'!L124+'ระยอง'!L124+'ราชบุรี'!L124+'ลพบุรี'!L124+'สระแก้ว'!L124+'สระบุรี'!L124+'สิงห์บุรี'!L124+'สุพรรณบุรี'!L124+'อ่างทอง'!L124</f>
        <v>441990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f>'กาญจนบุรี'!L125+'จันทบุรี'!L125+'ฉะเชิงเทรา'!L125+'ชลบุรี'!L125+'ชัยนาท'!L125+'ตราด'!L125+'นครนายก'!L125+'นครปฐม'!L125+'ปทุมธานี'!L125+'ประจวบคีรีขันธ์'!L125+'ปราจีนบุรี'!L125+'พระนครศรีอยุธยา'!L125+'เพชรบุรี'!L125+'ระยอง'!L125+'ราชบุรี'!L125+'ลพบุรี'!L125+'สระแก้ว'!L125+'สระบุรี'!L125+'สิงห์บุรี'!L125+'สุพรรณบุรี'!L125+'อ่างทอง'!L125</f>
        <v>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'กาญจนบุรี'!L126+'จันทบุรี'!L126+'ฉะเชิงเทรา'!L126+'ชลบุรี'!L126+'ชัยนาท'!L126+'ตราด'!L126+'นครนายก'!L126+'นครปฐม'!L126+'ปทุมธานี'!L126+'ประจวบคีรีขันธ์'!L126+'ปราจีนบุรี'!L126+'พระนครศรีอยุธยา'!L126+'เพชรบุรี'!L126+'ระยอง'!L126+'ราชบุรี'!L126+'ลพบุรี'!L126+'สระแก้ว'!L126+'สระบุรี'!L126+'สิงห์บุรี'!L126+'สุพรรณบุรี'!L126+'อ่างทอง'!L126</f>
        <v>0</v>
      </c>
      <c r="M126" s="125"/>
      <c r="N126" s="115">
        <f>'กาญจนบุรี'!N126+'จันทบุรี'!N126+'ฉะเชิงเทรา'!N126+'ชลบุรี'!N126+'ชัยนาท'!N126+'ตราด'!N126+'นครนายก'!N126+'นครปฐม'!N126+'ปทุมธานี'!N126+'ประจวบคีรีขันธ์'!N126+'ปราจีนบุรี'!N126+'พระนครศรีอยุธยา'!N126+'เพชรบุรี'!N126+'ระยอง'!N126+'ราชบุรี'!N126+'ลพบุรี'!N126+'สระแก้ว'!N126+'สระบุรี'!N126+'สิงห์บุรี'!N126+'สุพรรณบุรี'!N126+'อ่างทอง'!N126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70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'กาญจนบุรี'!J128+'จันทบุรี'!J128+'ฉะเชิงเทรา'!J128+'ชลบุรี'!J128+'ชัยนาท'!J128+'ตราด'!J128+'นครนายก'!J128+'นครปฐม'!J128+'ปทุมธานี'!J128+'ประจวบคีรีขันธ์'!J128+'ปราจีนบุรี'!J128+'พระนครศรีอยุธยา'!J128+'เพชรบุรี'!J128+'ระยอง'!J128+'ราชบุรี'!J128+'ลพบุรี'!J128+'สระแก้ว'!J128+'สระบุรี'!J128+'สิงห์บุรี'!J128+'สุพรรณบุรี'!J128+'อ่างทอง'!J128</f>
        <v>2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'กาญจนบุรี'!J129+'จันทบุรี'!J129+'ฉะเชิงเทรา'!J129+'ชลบุรี'!J129+'ชัยนาท'!J129+'ตราด'!J129+'นครนายก'!J129+'นครปฐม'!J129+'ปทุมธานี'!J129+'ประจวบคีรีขันธ์'!J129+'ปราจีนบุรี'!J129+'พระนครศรีอยุธยา'!J129+'เพชรบุรี'!J129+'ระยอง'!J129+'ราชบุรี'!J129+'ลพบุรี'!J129+'สระแก้ว'!J129+'สระบุรี'!J129+'สิงห์บุรี'!J129+'สุพรรณบุรี'!J129+'อ่างทอง'!J129</f>
        <v>4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'กาญจนบุรี'!J130+'จันทบุรี'!J130+'ฉะเชิงเทรา'!J130+'ชลบุรี'!J130+'ชัยนาท'!J130+'ตราด'!J130+'นครนายก'!J130+'นครปฐม'!J130+'ปทุมธานี'!J130+'ประจวบคีรีขันธ์'!J130+'ปราจีนบุรี'!J130+'พระนครศรีอยุธยา'!J130+'เพชรบุรี'!J130+'ระยอง'!J130+'ราชบุรี'!J130+'ลพบุรี'!J130+'สระแก้ว'!J130+'สระบุรี'!J130+'สิงห์บุรี'!J130+'สุพรรณบุรี'!J130+'อ่างทอง'!J130</f>
        <v>4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'กาญจนบุรี'!J131+'จันทบุรี'!J131+'ฉะเชิงเทรา'!J131+'ชลบุรี'!J131+'ชัยนาท'!J131+'ตราด'!J131+'นครนายก'!J131+'นครปฐม'!J131+'ปทุมธานี'!J131+'ประจวบคีรีขันธ์'!J131+'ปราจีนบุรี'!J131+'พระนครศรีอยุธยา'!J131+'เพชรบุรี'!J131+'ระยอง'!J131+'ราชบุรี'!J131+'ลพบุรี'!J131+'สระแก้ว'!J131+'สระบุรี'!J131+'สิงห์บุรี'!J131+'สุพรรณบุรี'!J131+'อ่างทอง'!J131</f>
        <v>3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'กาญจนบุรี'!I132+'จันทบุรี'!I132+'ฉะเชิงเทรา'!I132+'ชลบุรี'!I132+'ชัยนาท'!I132+'ตราด'!I132+'นครนายก'!I132+'นครปฐม'!I132+'ปทุมธานี'!I132+'ประจวบคีรีขันธ์'!I132+'ปราจีนบุรี'!I132+'พระนครศรีอยุธยา'!I132+'เพชรบุรี'!I132+'ระยอง'!I132+'ราชบุรี'!I132+'ลพบุรี'!I132+'สระแก้ว'!I132+'สระบุรี'!I132+'สิงห์บุรี'!I132+'สุพรรณบุรี'!I132+'อ่างทอง'!I132</f>
        <v>105</v>
      </c>
      <c r="J132" s="238">
        <f>'กาญจนบุรี'!J132+'จันทบุรี'!J132+'ฉะเชิงเทรา'!J132+'ชลบุรี'!J132+'ชัยนาท'!J132+'ตราด'!J132+'นครนายก'!J132+'นครปฐม'!J132+'ปทุมธานี'!J132+'ประจวบคีรีขันธ์'!J132+'ปราจีนบุรี'!J132+'พระนครศรีอยุธยา'!J132+'เพชรบุรี'!J132+'ระยอง'!J132+'ราชบุรี'!J132+'ลพบุรี'!J132+'สระแก้ว'!J132+'สระบุรี'!J132+'สิงห์บุรี'!J132+'สุพรรณบุรี'!J132+'อ่างทอง'!J132</f>
        <v>55</v>
      </c>
      <c r="K132" s="258">
        <f t="shared" ref="K132:K133" si="24">IF(I132&gt;0,J132*100/I132,0)</f>
        <v>52.38095238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'กาญจนบุรี'!I133+'จันทบุรี'!I133+'ฉะเชิงเทรา'!I133+'ชลบุรี'!I133+'ชัยนาท'!I133+'ตราด'!I133+'นครนายก'!I133+'นครปฐม'!I133+'ปทุมธานี'!I133+'ประจวบคีรีขันธ์'!I133+'ปราจีนบุรี'!I133+'พระนครศรีอยุธยา'!I133+'เพชรบุรี'!I133+'ระยอง'!I133+'ราชบุรี'!I133+'ลพบุรี'!I133+'สระแก้ว'!I133+'สระบุรี'!I133+'สิงห์บุรี'!I133+'สุพรรณบุรี'!I133+'อ่างทอง'!I133</f>
        <v>105</v>
      </c>
      <c r="J133" s="238">
        <f>'กาญจนบุรี'!J133+'จันทบุรี'!J133+'ฉะเชิงเทรา'!J133+'ชลบุรี'!J133+'ชัยนาท'!J133+'ตราด'!J133+'นครนายก'!J133+'นครปฐม'!J133+'ปทุมธานี'!J133+'ประจวบคีรีขันธ์'!J133+'ปราจีนบุรี'!J133+'พระนครศรีอยุธยา'!J133+'เพชรบุรี'!J133+'ระยอง'!J133+'ราชบุรี'!J133+'ลพบุรี'!J133+'สระแก้ว'!J133+'สระบุรี'!J133+'สิงห์บุรี'!J133+'สุพรรณบุรี'!J133+'อ่างทอง'!J133</f>
        <v>0</v>
      </c>
      <c r="K133" s="258">
        <f t="shared" si="2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'กาญจนบุรี'!J134+'จันทบุรี'!J134+'ฉะเชิงเทรา'!J134+'ชลบุรี'!J134+'ชัยนาท'!J134+'ตราด'!J134+'นครนายก'!J134+'นครปฐม'!J134+'ปทุมธานี'!J134+'ประจวบคีรีขันธ์'!J134+'ปราจีนบุรี'!J134+'พระนครศรีอยุธยา'!J134+'เพชรบุรี'!J134+'ระยอง'!J134+'ราชบุรี'!J134+'ลพบุรี'!J134+'สระแก้ว'!J134+'สระบุรี'!J134+'สิงห์บุรี'!J134+'สุพรรณบุรี'!J134+'อ่างทอง'!J134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'กาญจนบุรี'!J135+'จันทบุรี'!J135+'ฉะเชิงเทรา'!J135+'ชลบุรี'!J135+'ชัยนาท'!J135+'ตราด'!J135+'นครนายก'!J135+'นครปฐม'!J135+'ปทุมธานี'!J135+'ประจวบคีรีขันธ์'!J135+'ปราจีนบุรี'!J135+'พระนครศรีอยุธยา'!J135+'เพชรบุรี'!J135+'ระยอง'!J135+'ราชบุรี'!J135+'ลพบุรี'!J135+'สระแก้ว'!J135+'สระบุรี'!J135+'สิงห์บุรี'!J135+'สุพรรณบุรี'!J135+'อ่างทอง'!J135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'กาญจนบุรี'!I138+'จันทบุรี'!I138+'ฉะเชิงเทรา'!I138+'ชลบุรี'!I138+'ชัยนาท'!I138+'ตราด'!I138+'นครนายก'!I138+'นครปฐม'!I138+'ปทุมธานี'!I138+'ประจวบคีรีขันธ์'!I138+'ปราจีนบุรี'!I138+'พระนครศรีอยุธยา'!I138+'เพชรบุรี'!I138+'ระยอง'!I138+'ราชบุรี'!I138+'ลพบุรี'!I138+'สระแก้ว'!I138+'สระบุรี'!I138+'สิงห์บุรี'!I138+'สุพรรณบุรี'!I138+'อ่างทอง'!I138</f>
        <v>440</v>
      </c>
      <c r="J138" s="301">
        <f>'กาญจนบุรี'!J138+'จันทบุรี'!J138+'ฉะเชิงเทรา'!J138+'ชลบุรี'!J138+'ชัยนาท'!J138+'ตราด'!J138+'นครนายก'!J138+'นครปฐม'!J138+'ปทุมธานี'!J138+'ประจวบคีรีขันธ์'!J138+'ปราจีนบุรี'!J138+'พระนครศรีอยุธยา'!J138+'เพชรบุรี'!J138+'ระยอง'!J138+'ราชบุรี'!J138+'ลพบุรี'!J138+'สระแก้ว'!J138+'สระบุรี'!J138+'สิงห์บุรี'!J138+'สุพรรณบุรี'!J138+'อ่างทอง'!J138</f>
        <v>180</v>
      </c>
      <c r="K138" s="302">
        <f>IF(I138&gt;0,J138*100/I138,0)</f>
        <v>40.90909091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>'กาญจนบุรี'!L140+'จันทบุรี'!L140+'ฉะเชิงเทรา'!L140+'ชลบุรี'!L140+'ชัยนาท'!L140+'ตราด'!L140+'นครนายก'!L140+'นครปฐม'!L140+'ปทุมธานี'!L140+'ประจวบคีรีขันธ์'!L140+'ปราจีนบุรี'!L140+'พระนครศรีอยุธยา'!L140+'เพชรบุรี'!L140+'ระยอง'!L140+'ราชบุรี'!L140+'ลพบุรี'!L140+'สระแก้ว'!L140+'สระบุรี'!L140+'สิงห์บุรี'!L140+'สุพรรณบุรี'!L140+'อ่างทอง'!L140</f>
        <v>6816300</v>
      </c>
      <c r="M140" s="183">
        <f>'กาญจนบุรี'!M140+'จันทบุรี'!M140+'ฉะเชิงเทรา'!M140+'ชลบุรี'!M140+'ชัยนาท'!M140+'ตราด'!M140+'นครนายก'!M140+'นครปฐม'!M140+'ปทุมธานี'!M140+'ประจวบคีรีขันธ์'!M140+'ปราจีนบุรี'!M140+'พระนครศรีอยุธยา'!M140+'เพชรบุรี'!M140+'ระยอง'!M140+'ราชบุรี'!M140+'ลพบุรี'!M140+'สระแก้ว'!M140+'สระบุรี'!M140+'สิงห์บุรี'!M140+'สุพรรณบุรี'!M140+'อ่างทอง'!M140</f>
        <v>4020130</v>
      </c>
      <c r="N140" s="183">
        <f>'กาญจนบุรี'!N140+'จันทบุรี'!N140+'ฉะเชิงเทรา'!N140+'ชลบุรี'!N140+'ชัยนาท'!N140+'ตราด'!N140+'นครนายก'!N140+'นครปฐม'!N140+'ปทุมธานี'!N140+'ประจวบคีรีขันธ์'!N140+'ปราจีนบุรี'!N140+'พระนครศรีอยุธยา'!N140+'เพชรบุรี'!N140+'ระยอง'!N140+'ราชบุรี'!N140+'ลพบุรี'!N140+'สระแก้ว'!N140+'สระบุรี'!N140+'สิงห์บุรี'!N140+'สุพรรณบุรี'!N140+'อ่างทอง'!N140</f>
        <v>1696903</v>
      </c>
      <c r="O140" s="182">
        <f t="shared" ref="O140:O142" si="25">IF(L140&gt;0,N140*100/L140,0)</f>
        <v>24.89478163</v>
      </c>
      <c r="P140" s="182">
        <f t="shared" ref="P140:P142" si="26">IF(M140&gt;0,N140*100/M140,0)</f>
        <v>42.21015241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>'กาญจนบุรี'!L141+'จันทบุรี'!L141+'ฉะเชิงเทรา'!L141+'ชลบุรี'!L141+'ชัยนาท'!L141+'ตราด'!L141+'นครนายก'!L141+'นครปฐม'!L141+'ปทุมธานี'!L141+'ประจวบคีรีขันธ์'!L141+'ปราจีนบุรี'!L141+'พระนครศรีอยุธยา'!L141+'เพชรบุรี'!L141+'ระยอง'!L141+'ราชบุรี'!L141+'ลพบุรี'!L141+'สระแก้ว'!L141+'สระบุรี'!L141+'สิงห์บุรี'!L141+'สุพรรณบุรี'!L141+'อ่างทอง'!L141</f>
        <v>0</v>
      </c>
      <c r="M141" s="188">
        <f>'กาญจนบุรี'!M141+'จันทบุรี'!M141+'ฉะเชิงเทรา'!M141+'ชลบุรี'!M141+'ชัยนาท'!M141+'ตราด'!M141+'นครนายก'!M141+'นครปฐม'!M141+'ปทุมธานี'!M141+'ประจวบคีรีขันธ์'!M141+'ปราจีนบุรี'!M141+'พระนครศรีอยุธยา'!M141+'เพชรบุรี'!M141+'ระยอง'!M141+'ราชบุรี'!M141+'ลพบุรี'!M141+'สระแก้ว'!M141+'สระบุรี'!M141+'สิงห์บุรี'!M141+'สุพรรณบุรี'!M141+'อ่างทอง'!M141</f>
        <v>0</v>
      </c>
      <c r="N141" s="188">
        <f>'กาญจนบุรี'!N141+'จันทบุรี'!N141+'ฉะเชิงเทรา'!N141+'ชลบุรี'!N141+'ชัยนาท'!N141+'ตราด'!N141+'นครนายก'!N141+'นครปฐม'!N141+'ปทุมธานี'!N141+'ประจวบคีรีขันธ์'!N141+'ปราจีนบุรี'!N141+'พระนครศรีอยุธยา'!N141+'เพชรบุรี'!N141+'ระยอง'!N141+'ราชบุรี'!N141+'ลพบุรี'!N141+'สระแก้ว'!N141+'สระบุรี'!N141+'สิงห์บุรี'!N141+'สุพรรณบุรี'!N141+'อ่างทอง'!N141</f>
        <v>0</v>
      </c>
      <c r="O141" s="187">
        <f t="shared" si="25"/>
        <v>0</v>
      </c>
      <c r="P141" s="187">
        <f t="shared" si="26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>'กาญจนบุรี'!L142+'จันทบุรี'!L142+'ฉะเชิงเทรา'!L142+'ชลบุรี'!L142+'ชัยนาท'!L142+'ตราด'!L142+'นครนายก'!L142+'นครปฐม'!L142+'ปทุมธานี'!L142+'ประจวบคีรีขันธ์'!L142+'ปราจีนบุรี'!L142+'พระนครศรีอยุธยา'!L142+'เพชรบุรี'!L142+'ระยอง'!L142+'ราชบุรี'!L142+'ลพบุรี'!L142+'สระแก้ว'!L142+'สระบุรี'!L142+'สิงห์บุรี'!L142+'สุพรรณบุรี'!L142+'อ่างทอง'!L142</f>
        <v>6816300</v>
      </c>
      <c r="M142" s="188">
        <f>'กาญจนบุรี'!M142+'จันทบุรี'!M142+'ฉะเชิงเทรา'!M142+'ชลบุรี'!M142+'ชัยนาท'!M142+'ตราด'!M142+'นครนายก'!M142+'นครปฐม'!M142+'ปทุมธานี'!M142+'ประจวบคีรีขันธ์'!M142+'ปราจีนบุรี'!M142+'พระนครศรีอยุธยา'!M142+'เพชรบุรี'!M142+'ระยอง'!M142+'ราชบุรี'!M142+'ลพบุรี'!M142+'สระแก้ว'!M142+'สระบุรี'!M142+'สิงห์บุรี'!M142+'สุพรรณบุรี'!M142+'อ่างทอง'!M142</f>
        <v>4020130</v>
      </c>
      <c r="N142" s="188">
        <f>'กาญจนบุรี'!N142+'จันทบุรี'!N142+'ฉะเชิงเทรา'!N142+'ชลบุรี'!N142+'ชัยนาท'!N142+'ตราด'!N142+'นครนายก'!N142+'นครปฐม'!N142+'ปทุมธานี'!N142+'ประจวบคีรีขันธ์'!N142+'ปราจีนบุรี'!N142+'พระนครศรีอยุธยา'!N142+'เพชรบุรี'!N142+'ระยอง'!N142+'ราชบุรี'!N142+'ลพบุรี'!N142+'สระแก้ว'!N142+'สระบุรี'!N142+'สิงห์บุรี'!N142+'สุพรรณบุรี'!N142+'อ่างทอง'!N142</f>
        <v>1696903</v>
      </c>
      <c r="O142" s="187">
        <f t="shared" si="25"/>
        <v>24.89478163</v>
      </c>
      <c r="P142" s="187">
        <f t="shared" si="26"/>
        <v>42.21015241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f>'กาญจนบุรี'!L143+'จันทบุรี'!L143+'ฉะเชิงเทรา'!L143+'ชลบุรี'!L143+'ชัยนาท'!L143+'ตราด'!L143+'นครนายก'!L143+'นครปฐม'!L143+'ปทุมธานี'!L143+'ประจวบคีรีขันธ์'!L143+'ปราจีนบุรี'!L143+'พระนครศรีอยุธยา'!L143+'เพชรบุรี'!L143+'ระยอง'!L143+'ราชบุรี'!L143+'ลพบุรี'!L143+'สระแก้ว'!L143+'สระบุรี'!L143+'สิงห์บุรี'!L143+'สุพรรณบุรี'!L143+'อ่างทอง'!L143</f>
        <v>0</v>
      </c>
      <c r="M143" s="197">
        <f>'กาญจนบุรี'!M143+'จันทบุรี'!M143+'ฉะเชิงเทรา'!M143+'ชลบุรี'!M143+'ชัยนาท'!M143+'ตราด'!M143+'นครนายก'!M143+'นครปฐม'!M143+'ปทุมธานี'!M143+'ประจวบคีรีขันธ์'!M143+'ปราจีนบุรี'!M143+'พระนครศรีอยุธยา'!M143+'เพชรบุรี'!M143+'ระยอง'!M143+'ราชบุรี'!M143+'ลพบุรี'!M143+'สระแก้ว'!M143+'สระบุรี'!M143+'สิงห์บุรี'!M143+'สุพรรณบุรี'!M143+'อ่างทอง'!M143</f>
        <v>0</v>
      </c>
      <c r="N143" s="197">
        <f>'กาญจนบุรี'!N143+'จันทบุรี'!N143+'ฉะเชิงเทรา'!N143+'ชลบุรี'!N143+'ชัยนาท'!N143+'ตราด'!N143+'นครนายก'!N143+'นครปฐม'!N143+'ปทุมธานี'!N143+'ประจวบคีรีขันธ์'!N143+'ปราจีนบุรี'!N143+'พระนครศรีอยุธยา'!N143+'เพชรบุรี'!N143+'ระยอง'!N143+'ราชบุรี'!N143+'ลพบุรี'!N143+'สระแก้ว'!N143+'สระบุรี'!N143+'สิงห์บุรี'!N143+'สุพรรณบุรี'!N143+'อ่างทอง'!N143</f>
        <v>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'กาญจนบุรี'!L144+'จันทบุรี'!L144+'ฉะเชิงเทรา'!L144+'ชลบุรี'!L144+'ชัยนาท'!L144+'ตราด'!L144+'นครนายก'!L144+'นครปฐม'!L144+'ปทุมธานี'!L144+'ประจวบคีรีขันธ์'!L144+'ปราจีนบุรี'!L144+'พระนครศรีอยุธยา'!L144+'เพชรบุรี'!L144+'ระยอง'!L144+'ราชบุรี'!L144+'ลพบุรี'!L144+'สระแก้ว'!L144+'สระบุรี'!L144+'สิงห์บุรี'!L144+'สุพรรณบุรี'!L144+'อ่างทอง'!L144</f>
        <v>6816300</v>
      </c>
      <c r="M144" s="201">
        <f>'กาญจนบุรี'!M144+'จันทบุรี'!M144+'ฉะเชิงเทรา'!M144+'ชลบุรี'!M144+'ชัยนาท'!M144+'ตราด'!M144+'นครนายก'!M144+'นครปฐม'!M144+'ปทุมธานี'!M144+'ประจวบคีรีขันธ์'!M144+'ปราจีนบุรี'!M144+'พระนครศรีอยุธยา'!M144+'เพชรบุรี'!M144+'ระยอง'!M144+'ราชบุรี'!M144+'ลพบุรี'!M144+'สระแก้ว'!M144+'สระบุรี'!M144+'สิงห์บุรี'!M144+'สุพรรณบุรี'!M144+'อ่างทอง'!M144</f>
        <v>4020130</v>
      </c>
      <c r="N144" s="202">
        <f>'กาญจนบุรี'!N144+'จันทบุรี'!N144+'ฉะเชิงเทรา'!N144+'ชลบุรี'!N144+'ชัยนาท'!N144+'ตราด'!N144+'นครนายก'!N144+'นครปฐม'!N144+'ปทุมธานี'!N144+'ประจวบคีรีขันธ์'!N144+'ปราจีนบุรี'!N144+'พระนครศรีอยุธยา'!N144+'เพชรบุรี'!N144+'ระยอง'!N144+'ราชบุรี'!N144+'ลพบุรี'!N144+'สระแก้ว'!N144+'สระบุรี'!N144+'สิงห์บุรี'!N144+'สุพรรณบุรี'!N144+'อ่างทอง'!N144</f>
        <v>1696903</v>
      </c>
      <c r="O144" s="203">
        <f>IF(L144&gt;0,N144*100/L144,0)</f>
        <v>24.89478163</v>
      </c>
      <c r="P144" s="203">
        <f>IF(M144&gt;0,N144*100/M144,0)</f>
        <v>42.21015241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'กาญจนบุรี'!L145+'จันทบุรี'!L145+'ฉะเชิงเทรา'!L145+'ชลบุรี'!L145+'ชัยนาท'!L145+'ตราด'!L145+'นครนายก'!L145+'นครปฐม'!L145+'ปทุมธานี'!L145+'ประจวบคีรีขันธ์'!L145+'ปราจีนบุรี'!L145+'พระนครศรีอยุธยา'!L145+'เพชรบุรี'!L145+'ระยอง'!L145+'ราชบุรี'!L145+'ลพบุรี'!L145+'สระแก้ว'!L145+'สระบุรี'!L145+'สิงห์บุรี'!L145+'สุพรรณบุรี'!L145+'อ่างทอง'!L145</f>
        <v>3590600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'กาญจนบุรี'!L146+'จันทบุรี'!L146+'ฉะเชิงเทรา'!L146+'ชลบุรี'!L146+'ชัยนาท'!L146+'ตราด'!L146+'นครนายก'!L146+'นครปฐม'!L146+'ปทุมธานี'!L146+'ประจวบคีรีขันธ์'!L146+'ปราจีนบุรี'!L146+'พระนครศรีอยุธยา'!L146+'เพชรบุรี'!L146+'ระยอง'!L146+'ราชบุรี'!L146+'ลพบุรี'!L146+'สระแก้ว'!L146+'สระบุรี'!L146+'สิงห์บุรี'!L146+'สุพรรณบุรี'!L146+'อ่างทอง'!L146</f>
        <v>3225700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f>'กาญจนบุรี'!L147+'จันทบุรี'!L147+'ฉะเชิงเทรา'!L147+'ชลบุรี'!L147+'ชัยนาท'!L147+'ตราด'!L147+'นครนายก'!L147+'นครปฐม'!L147+'ปทุมธานี'!L147+'ประจวบคีรีขันธ์'!L147+'ปราจีนบุรี'!L147+'พระนครศรีอยุธยา'!L147+'เพชรบุรี'!L147+'ระยอง'!L147+'ราชบุรี'!L147+'ลพบุรี'!L147+'สระแก้ว'!L147+'สระบุรี'!L147+'สิงห์บุรี'!L147+'สุพรรณบุรี'!L147+'อ่างทอง'!L147</f>
        <v>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'กาญจนบุรี'!L148+'จันทบุรี'!L148+'ฉะเชิงเทรา'!L148+'ชลบุรี'!L148+'ชัยนาท'!L148+'ตราด'!L148+'นครนายก'!L148+'นครปฐม'!L148+'ปทุมธานี'!L148+'ประจวบคีรีขันธ์'!L148+'ปราจีนบุรี'!L148+'พระนครศรีอยุธยา'!L148+'เพชรบุรี'!L148+'ระยอง'!L148+'ราชบุรี'!L148+'ลพบุรี'!L148+'สระแก้ว'!L148+'สระบุรี'!L148+'สิงห์บุรี'!L148+'สุพรรณบุรี'!L148+'อ่างทอง'!L148</f>
        <v>0</v>
      </c>
      <c r="M148" s="125"/>
      <c r="N148" s="115">
        <f>'กาญจนบุรี'!N148+'จันทบุรี'!N148+'ฉะเชิงเทรา'!N148+'ชลบุรี'!N148+'ชัยนาท'!N148+'ตราด'!N148+'นครนายก'!N148+'นครปฐม'!N148+'ปทุมธานี'!N148+'ประจวบคีรีขันธ์'!N148+'ปราจีนบุรี'!N148+'พระนครศรีอยุธยา'!N148+'เพชรบุรี'!N148+'ระยอง'!N148+'ราชบุรี'!N148+'ลพบุรี'!N148+'สระแก้ว'!N148+'สระบุรี'!N148+'สิงห์บุรี'!N148+'สุพรรณบุรี'!N148+'อ่างทอง'!N148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'กาญจนบุรี'!I149+'จันทบุรี'!I149+'ฉะเชิงเทรา'!I149+'ชลบุรี'!I149+'ชัยนาท'!I149+'ตราด'!I149+'นครนายก'!I149+'นครปฐม'!I149+'ปทุมธานี'!I149+'ประจวบคีรีขันธ์'!I149+'ปราจีนบุรี'!I149+'พระนครศรีอยุธยา'!I149+'เพชรบุรี'!I149+'ระยอง'!I149+'ราชบุรี'!I149+'ลพบุรี'!I149+'สระแก้ว'!I149+'สระบุรี'!I149+'สิงห์บุรี'!I149+'สุพรรณบุรี'!I149+'อ่างทอง'!I149</f>
        <v>84</v>
      </c>
      <c r="J149" s="309">
        <f>'กาญจนบุรี'!J149+'จันทบุรี'!J149+'ฉะเชิงเทรา'!J149+'ชลบุรี'!J149+'ชัยนาท'!J149+'ตราด'!J149+'นครนายก'!J149+'นครปฐม'!J149+'ปทุมธานี'!J149+'ประจวบคีรีขันธ์'!J149+'ปราจีนบุรี'!J149+'พระนครศรีอยุธยา'!J149+'เพชรบุรี'!J149+'ระยอง'!J149+'ราชบุรี'!J149+'ลพบุรี'!J149+'สระแก้ว'!J149+'สระบุรี'!J149+'สิงห์บุรี'!J149+'สุพรรณบุรี'!J149+'อ่างทอง'!J149</f>
        <v>15</v>
      </c>
      <c r="K149" s="310">
        <f>IF(I149&gt;0,J149*100/I149,0)</f>
        <v>17.85714286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'กาญจนบุรี'!J154+'จันทบุรี'!J154+'ฉะเชิงเทรา'!J154+'ชลบุรี'!J154+'ชัยนาท'!J154+'ตราด'!J154+'นครนายก'!J154+'นครปฐม'!J154+'ปทุมธานี'!J154+'ประจวบคีรีขันธ์'!J154+'ปราจีนบุรี'!J154+'พระนครศรีอยุธยา'!J154+'เพชรบุรี'!J154+'ระยอง'!J154+'ราชบุรี'!J154+'ลพบุรี'!J154+'สระแก้ว'!J154+'สระบุรี'!J154+'สิงห์บุรี'!J154+'สุพรรณบุรี'!J154+'อ่างทอง'!J154</f>
        <v>5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'กาญจนบุรี'!J155+'จันทบุรี'!J155+'ฉะเชิงเทรา'!J155+'ชลบุรี'!J155+'ชัยนาท'!J155+'ตราด'!J155+'นครนายก'!J155+'นครปฐม'!J155+'ปทุมธานี'!J155+'ประจวบคีรีขันธ์'!J155+'ปราจีนบุรี'!J155+'พระนครศรีอยุธยา'!J155+'เพชรบุรี'!J155+'ระยอง'!J155+'ราชบุรี'!J155+'ลพบุรี'!J155+'สระแก้ว'!J155+'สระบุรี'!J155+'สิงห์บุรี'!J155+'สุพรรณบุรี'!J155+'อ่างทอง'!J155</f>
        <v>15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'กาญจนบุรี'!J156+'จันทบุรี'!J156+'ฉะเชิงเทรา'!J156+'ชลบุรี'!J156+'ชัยนาท'!J156+'ตราด'!J156+'นครนายก'!J156+'นครปฐม'!J156+'ปทุมธานี'!J156+'ประจวบคีรีขันธ์'!J156+'ปราจีนบุรี'!J156+'พระนครศรีอยุธยา'!J156+'เพชรบุรี'!J156+'ระยอง'!J156+'ราชบุรี'!J156+'ลพบุรี'!J156+'สระแก้ว'!J156+'สระบุรี'!J156+'สิงห์บุรี'!J156+'สุพรรณบุรี'!J156+'อ่างทอง'!J156</f>
        <v>13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'กาญจนบุรี'!J157+'จันทบุรี'!J157+'ฉะเชิงเทรา'!J157+'ชลบุรี'!J157+'ชัยนาท'!J157+'ตราด'!J157+'นครนายก'!J157+'นครปฐม'!J157+'ปทุมธานี'!J157+'ประจวบคีรีขันธ์'!J157+'ปราจีนบุรี'!J157+'พระนครศรีอยุธยา'!J157+'เพชรบุรี'!J157+'ระยอง'!J157+'ราชบุรี'!J157+'ลพบุรี'!J157+'สระแก้ว'!J157+'สระบุรี'!J157+'สิงห์บุรี'!J157+'สุพรรณบุรี'!J157+'อ่างทอง'!J157</f>
        <v>9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'กาญจนบุรี'!I158+'จันทบุรี'!I158+'ฉะเชิงเทรา'!I158+'ชลบุรี'!I158+'ชัยนาท'!I158+'ตราด'!I158+'นครนายก'!I158+'นครปฐม'!I158+'ปทุมธานี'!I158+'ประจวบคีรีขันธ์'!I158+'ปราจีนบุรี'!I158+'พระนครศรีอยุธยา'!I158+'เพชรบุรี'!I158+'ระยอง'!I158+'ราชบุรี'!I158+'ลพบุรี'!I158+'สระแก้ว'!I158+'สระบุรี'!I158+'สิงห์บุรี'!I158+'สุพรรณบุรี'!I158+'อ่างทอง'!I158</f>
        <v>84</v>
      </c>
      <c r="J158" s="223">
        <f>'กาญจนบุรี'!J158+'จันทบุรี'!J158+'ฉะเชิงเทรา'!J158+'ชลบุรี'!J158+'ชัยนาท'!J158+'ตราด'!J158+'นครนายก'!J158+'นครปฐม'!J158+'ปทุมธานี'!J158+'ประจวบคีรีขันธ์'!J158+'ปราจีนบุรี'!J158+'พระนครศรีอยุธยา'!J158+'เพชรบุรี'!J158+'ระยอง'!J158+'ราชบุรี'!J158+'ลพบุรี'!J158+'สระแก้ว'!J158+'สระบุรี'!J158+'สิงห์บุรี'!J158+'สุพรรณบุรี'!J158+'อ่างทอง'!J158</f>
        <v>15</v>
      </c>
      <c r="K158" s="196">
        <f>IF(I158&gt;0,J158*100/I158,0)</f>
        <v>17.85714286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'กาญจนบุรี'!J159+'จันทบุรี'!J159+'ฉะเชิงเทรา'!J159+'ชลบุรี'!J159+'ชัยนาท'!J159+'ตราด'!J159+'นครนายก'!J159+'นครปฐม'!J159+'ปทุมธานี'!J159+'ประจวบคีรีขันธ์'!J159+'ปราจีนบุรี'!J159+'พระนครศรีอยุธยา'!J159+'เพชรบุรี'!J159+'ระยอง'!J159+'ราชบุรี'!J159+'ลพบุรี'!J159+'สระแก้ว'!J159+'สระบุรี'!J159+'สิงห์บุรี'!J159+'สุพรรณบุรี'!J159+'อ่างทอง'!J159</f>
        <v>390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'กาญจนบุรี'!J160+'จันทบุรี'!J160+'ฉะเชิงเทรา'!J160+'ชลบุรี'!J160+'ชัยนาท'!J160+'ตราด'!J160+'นครนายก'!J160+'นครปฐม'!J160+'ปทุมธานี'!J160+'ประจวบคีรีขันธ์'!J160+'ปราจีนบุรี'!J160+'พระนครศรีอยุธยา'!J160+'เพชรบุรี'!J160+'ระยอง'!J160+'ราชบุรี'!J160+'ลพบุรี'!J160+'สระแก้ว'!J160+'สระบุรี'!J160+'สิงห์บุรี'!J160+'สุพรรณบุรี'!J160+'อ่างทอง'!J160</f>
        <v>390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'กาญจนบุรี'!J161+'จันทบุรี'!J161+'ฉะเชิงเทรา'!J161+'ชลบุรี'!J161+'ชัยนาท'!J161+'ตราด'!J161+'นครนายก'!J161+'นครปฐม'!J161+'ปทุมธานี'!J161+'ประจวบคีรีขันธ์'!J161+'ปราจีนบุรี'!J161+'พระนครศรีอยุธยา'!J161+'เพชรบุรี'!J161+'ระยอง'!J161+'ราชบุรี'!J161+'ลพบุรี'!J161+'สระแก้ว'!J161+'สระบุรี'!J161+'สิงห์บุรี'!J161+'สุพรรณบุรี'!J161+'อ่างทอง'!J161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'กาญจนบุรี'!J162+'จันทบุรี'!J162+'ฉะเชิงเทรา'!J162+'ชลบุรี'!J162+'ชัยนาท'!J162+'ตราด'!J162+'นครนายก'!J162+'นครปฐม'!J162+'ปทุมธานี'!J162+'ประจวบคีรีขันธ์'!J162+'ปราจีนบุรี'!J162+'พระนครศรีอยุธยา'!J162+'เพชรบุรี'!J162+'ระยอง'!J162+'ราชบุรี'!J162+'ลพบุรี'!J162+'สระแก้ว'!J162+'สระบุรี'!J162+'สิงห์บุรี'!J162+'สุพรรณบุรี'!J162+'อ่างทอง'!J162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'กาญจนบุรี'!J163+'จันทบุรี'!J163+'ฉะเชิงเทรา'!J163+'ชลบุรี'!J163+'ชัยนาท'!J163+'ตราด'!J163+'นครนายก'!J163+'นครปฐม'!J163+'ปทุมธานี'!J163+'ประจวบคีรีขันธ์'!J163+'ปราจีนบุรี'!J163+'พระนครศรีอยุธยา'!J163+'เพชรบุรี'!J163+'ระยอง'!J163+'ราชบุรี'!J163+'ลพบุรี'!J163+'สระแก้ว'!J163+'สระบุรี'!J163+'สิงห์บุรี'!J163+'สุพรรณบุรี'!J163+'อ่างทอง'!J163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'กาญจนบุรี'!I164+'จันทบุรี'!I164+'ฉะเชิงเทรา'!I164+'ชลบุรี'!I164+'ชัยนาท'!I164+'ตราด'!I164+'นครนายก'!I164+'นครปฐม'!I164+'ปทุมธานี'!I164+'ประจวบคีรีขันธ์'!I164+'ปราจีนบุรี'!I164+'พระนครศรีอยุธยา'!I164+'เพชรบุรี'!I164+'ระยอง'!I164+'ราชบุรี'!I164+'ลพบุรี'!I164+'สระแก้ว'!I164+'สระบุรี'!I164+'สิงห์บุรี'!I164+'สุพรรณบุรี'!I164+'อ่างทอง'!I164</f>
        <v>50</v>
      </c>
      <c r="J164" s="317">
        <f>'กาญจนบุรี'!J164+'จันทบุรี'!J164+'ฉะเชิงเทรา'!J164+'ชลบุรี'!J164+'ชัยนาท'!J164+'ตราด'!J164+'นครนายก'!J164+'นครปฐม'!J164+'ปทุมธานี'!J164+'ประจวบคีรีขันธ์'!J164+'ปราจีนบุรี'!J164+'พระนครศรีอยุธยา'!J164+'เพชรบุรี'!J164+'ระยอง'!J164+'ราชบุรี'!J164+'ลพบุรี'!J164+'สระแก้ว'!J164+'สระบุรี'!J164+'สิงห์บุรี'!J164+'สุพรรณบุรี'!J164+'อ่างทอง'!J164</f>
        <v>16</v>
      </c>
      <c r="K164" s="318">
        <f>IF(I164&gt;0,J164*100/I164,0)</f>
        <v>32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'กาญจนบุรี'!J169+'จันทบุรี'!J169+'ฉะเชิงเทรา'!J169+'ชลบุรี'!J169+'ชัยนาท'!J169+'ตราด'!J169+'นครนายก'!J169+'นครปฐม'!J169+'ปทุมธานี'!J169+'ประจวบคีรีขันธ์'!J169+'ปราจีนบุรี'!J169+'พระนครศรีอยุธยา'!J169+'เพชรบุรี'!J169+'ระยอง'!J169+'ราชบุรี'!J169+'ลพบุรี'!J169+'สระแก้ว'!J169+'สระบุรี'!J169+'สิงห์บุรี'!J169+'สุพรรณบุรี'!J169+'อ่างทอง'!J169</f>
        <v>4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'กาญจนบุรี'!J170+'จันทบุรี'!J170+'ฉะเชิงเทรา'!J170+'ชลบุรี'!J170+'ชัยนาท'!J170+'ตราด'!J170+'นครนายก'!J170+'นครปฐม'!J170+'ปทุมธานี'!J170+'ประจวบคีรีขันธ์'!J170+'ปราจีนบุรี'!J170+'พระนครศรีอยุธยา'!J170+'เพชรบุรี'!J170+'ระยอง'!J170+'ราชบุรี'!J170+'ลพบุรี'!J170+'สระแก้ว'!J170+'สระบุรี'!J170+'สิงห์บุรี'!J170+'สุพรรณบุรี'!J170+'อ่างทอง'!J170</f>
        <v>15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'กาญจนบุรี'!J171+'จันทบุรี'!J171+'ฉะเชิงเทรา'!J171+'ชลบุรี'!J171+'ชัยนาท'!J171+'ตราด'!J171+'นครนายก'!J171+'นครปฐม'!J171+'ปทุมธานี'!J171+'ประจวบคีรีขันธ์'!J171+'ปราจีนบุรี'!J171+'พระนครศรีอยุธยา'!J171+'เพชรบุรี'!J171+'ระยอง'!J171+'ราชบุรี'!J171+'ลพบุรี'!J171+'สระแก้ว'!J171+'สระบุรี'!J171+'สิงห์บุรี'!J171+'สุพรรณบุรี'!J171+'อ่างทอง'!J171</f>
        <v>16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'กาญจนบุรี'!J172+'จันทบุรี'!J172+'ฉะเชิงเทรา'!J172+'ชลบุรี'!J172+'ชัยนาท'!J172+'ตราด'!J172+'นครนายก'!J172+'นครปฐม'!J172+'ปทุมธานี'!J172+'ประจวบคีรีขันธ์'!J172+'ปราจีนบุรี'!J172+'พระนครศรีอยุธยา'!J172+'เพชรบุรี'!J172+'ระยอง'!J172+'ราชบุรี'!J172+'ลพบุรี'!J172+'สระแก้ว'!J172+'สระบุรี'!J172+'สิงห์บุรี'!J172+'สุพรรณบุรี'!J172+'อ่างทอง'!J172</f>
        <v>10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'กาญจนบุรี'!I173+'จันทบุรี'!I173+'ฉะเชิงเทรา'!I173+'ชลบุรี'!I173+'ชัยนาท'!I173+'ตราด'!I173+'นครนายก'!I173+'นครปฐม'!I173+'ปทุมธานี'!I173+'ประจวบคีรีขันธ์'!I173+'ปราจีนบุรี'!I173+'พระนครศรีอยุธยา'!I173+'เพชรบุรี'!I173+'ระยอง'!I173+'ราชบุรี'!I173+'ลพบุรี'!I173+'สระแก้ว'!I173+'สระบุรี'!I173+'สิงห์บุรี'!I173+'สุพรรณบุรี'!I173+'อ่างทอง'!I173</f>
        <v>50</v>
      </c>
      <c r="J173" s="223">
        <f>'กาญจนบุรี'!J173+'จันทบุรี'!J173+'ฉะเชิงเทรา'!J173+'ชลบุรี'!J173+'ชัยนาท'!J173+'ตราด'!J173+'นครนายก'!J173+'นครปฐม'!J173+'ปทุมธานี'!J173+'ประจวบคีรีขันธ์'!J173+'ปราจีนบุรี'!J173+'พระนครศรีอยุธยา'!J173+'เพชรบุรี'!J173+'ระยอง'!J173+'ราชบุรี'!J173+'ลพบุรี'!J173+'สระแก้ว'!J173+'สระบุรี'!J173+'สิงห์บุรี'!J173+'สุพรรณบุรี'!J173+'อ่างทอง'!J173</f>
        <v>16</v>
      </c>
      <c r="K173" s="196">
        <f>IF(I173&gt;0,J173*100/I173,0)</f>
        <v>32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'กาญจนบุรี'!J174+'จันทบุรี'!J174+'ฉะเชิงเทรา'!J174+'ชลบุรี'!J174+'ชัยนาท'!J174+'ตราด'!J174+'นครนายก'!J174+'นครปฐม'!J174+'ปทุมธานี'!J174+'ประจวบคีรีขันธ์'!J174+'ปราจีนบุรี'!J174+'พระนครศรีอยุธยา'!J174+'เพชรบุรี'!J174+'ระยอง'!J174+'ราชบุรี'!J174+'ลพบุรี'!J174+'สระแก้ว'!J174+'สระบุรี'!J174+'สิงห์บุรี'!J174+'สุพรรณบุรี'!J174+'อ่างทอง'!J174</f>
        <v>1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'กาญจนบุรี'!J175+'จันทบุรี'!J175+'ฉะเชิงเทรา'!J175+'ชลบุรี'!J175+'ชัยนาท'!J175+'ตราด'!J175+'นครนายก'!J175+'นครปฐม'!J175+'ปทุมธานี'!J175+'ประจวบคีรีขันธ์'!J175+'ปราจีนบุรี'!J175+'พระนครศรีอยุธยา'!J175+'เพชรบุรี'!J175+'ระยอง'!J175+'ราชบุรี'!J175+'ลพบุรี'!J175+'สระแก้ว'!J175+'สระบุรี'!J175+'สิงห์บุรี'!J175+'สุพรรณบุรี'!J175+'อ่างทอง'!J175</f>
        <v>1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'กาญจนบุรี'!I176+'จันทบุรี'!I176+'ฉะเชิงเทรา'!I176+'ชลบุรี'!I176+'ชัยนาท'!I176+'ตราด'!I176+'นครนายก'!I176+'นครปฐม'!I176+'ปทุมธานี'!I176+'ประจวบคีรีขันธ์'!I176+'ปราจีนบุรี'!I176+'พระนครศรีอยุธยา'!I176+'เพชรบุรี'!I176+'ระยอง'!I176+'ราชบุรี'!I176+'ลพบุรี'!I176+'สระแก้ว'!I176+'สระบุรี'!I176+'สิงห์บุรี'!I176+'สุพรรณบุรี'!I176+'อ่างทอง'!I176</f>
        <v>17</v>
      </c>
      <c r="J176" s="317">
        <f>'กาญจนบุรี'!J176+'จันทบุรี'!J176+'ฉะเชิงเทรา'!J176+'ชลบุรี'!J176+'ชัยนาท'!J176+'ตราด'!J176+'นครนายก'!J176+'นครปฐม'!J176+'ปทุมธานี'!J176+'ประจวบคีรีขันธ์'!J176+'ปราจีนบุรี'!J176+'พระนครศรีอยุธยา'!J176+'เพชรบุรี'!J176+'ระยอง'!J176+'ราชบุรี'!J176+'ลพบุรี'!J176+'สระแก้ว'!J176+'สระบุรี'!J176+'สิงห์บุรี'!J176+'สุพรรณบุรี'!J176+'อ่างทอง'!J176</f>
        <v>2</v>
      </c>
      <c r="K176" s="318">
        <f>IF(I176&gt;0,J176*100/I176,0)</f>
        <v>11.76470588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'กาญจนบุรี'!J181+'จันทบุรี'!J181+'ฉะเชิงเทรา'!J181+'ชลบุรี'!J181+'ชัยนาท'!J181+'ตราด'!J181+'นครนายก'!J181+'นครปฐม'!J181+'ปทุมธานี'!J181+'ประจวบคีรีขันธ์'!J181+'ปราจีนบุรี'!J181+'พระนครศรีอยุธยา'!J181+'เพชรบุรี'!J181+'ระยอง'!J181+'ราชบุรี'!J181+'ลพบุรี'!J181+'สระแก้ว'!J181+'สระบุรี'!J181+'สิงห์บุรี'!J181+'สุพรรณบุรี'!J181+'อ่างทอง'!J181</f>
        <v>2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'กาญจนบุรี'!J182+'จันทบุรี'!J182+'ฉะเชิงเทรา'!J182+'ชลบุรี'!J182+'ชัยนาท'!J182+'ตราด'!J182+'นครนายก'!J182+'นครปฐม'!J182+'ปทุมธานี'!J182+'ประจวบคีรีขันธ์'!J182+'ปราจีนบุรี'!J182+'พระนครศรีอยุธยา'!J182+'เพชรบุรี'!J182+'ระยอง'!J182+'ราชบุรี'!J182+'ลพบุรี'!J182+'สระแก้ว'!J182+'สระบุรี'!J182+'สิงห์บุรี'!J182+'สุพรรณบุรี'!J182+'อ่างทอง'!J182</f>
        <v>3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'กาญจนบุรี'!J183+'จันทบุรี'!J183+'ฉะเชิงเทรา'!J183+'ชลบุรี'!J183+'ชัยนาท'!J183+'ตราด'!J183+'นครนายก'!J183+'นครปฐม'!J183+'ปทุมธานี'!J183+'ประจวบคีรีขันธ์'!J183+'ปราจีนบุรี'!J183+'พระนครศรีอยุธยา'!J183+'เพชรบุรี'!J183+'ระยอง'!J183+'ราชบุรี'!J183+'ลพบุรี'!J183+'สระแก้ว'!J183+'สระบุรี'!J183+'สิงห์บุรี'!J183+'สุพรรณบุรี'!J183+'อ่างทอง'!J183</f>
        <v>3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'กาญจนบุรี'!J184+'จันทบุรี'!J184+'ฉะเชิงเทรา'!J184+'ชลบุรี'!J184+'ชัยนาท'!J184+'ตราด'!J184+'นครนายก'!J184+'นครปฐม'!J184+'ปทุมธานี'!J184+'ประจวบคีรีขันธ์'!J184+'ปราจีนบุรี'!J184+'พระนครศรีอยุธยา'!J184+'เพชรบุรี'!J184+'ระยอง'!J184+'ราชบุรี'!J184+'ลพบุรี'!J184+'สระแก้ว'!J184+'สระบุรี'!J184+'สิงห์บุรี'!J184+'สุพรรณบุรี'!J184+'อ่างทอง'!J184</f>
        <v>2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'กาญจนบุรี'!I185+'จันทบุรี'!I185+'ฉะเชิงเทรา'!I185+'ชลบุรี'!I185+'ชัยนาท'!I185+'ตราด'!I185+'นครนายก'!I185+'นครปฐม'!I185+'ปทุมธานี'!I185+'ประจวบคีรีขันธ์'!I185+'ปราจีนบุรี'!I185+'พระนครศรีอยุธยา'!I185+'เพชรบุรี'!I185+'ระยอง'!I185+'ราชบุรี'!I185+'ลพบุรี'!I185+'สระแก้ว'!I185+'สระบุรี'!I185+'สิงห์บุรี'!I185+'สุพรรณบุรี'!I185+'อ่างทอง'!I185</f>
        <v>17</v>
      </c>
      <c r="J185" s="238">
        <f>'กาญจนบุรี'!J185+'จันทบุรี'!J185+'ฉะเชิงเทรา'!J185+'ชลบุรี'!J185+'ชัยนาท'!J185+'ตราด'!J185+'นครนายก'!J185+'นครปฐม'!J185+'ปทุมธานี'!J185+'ประจวบคีรีขันธ์'!J185+'ปราจีนบุรี'!J185+'พระนครศรีอยุธยา'!J185+'เพชรบุรี'!J185+'ระยอง'!J185+'ราชบุรี'!J185+'ลพบุรี'!J185+'สระแก้ว'!J185+'สระบุรี'!J185+'สิงห์บุรี'!J185+'สุพรรณบุรี'!J185+'อ่างทอง'!J185</f>
        <v>0</v>
      </c>
      <c r="K185" s="258">
        <f t="shared" ref="K185:K186" si="27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'กาญจนบุรี'!I186+'จันทบุรี'!I186+'ฉะเชิงเทรา'!I186+'ชลบุรี'!I186+'ชัยนาท'!I186+'ตราด'!I186+'นครนายก'!I186+'นครปฐม'!I186+'ปทุมธานี'!I186+'ประจวบคีรีขันธ์'!I186+'ปราจีนบุรี'!I186+'พระนครศรีอยุธยา'!I186+'เพชรบุรี'!I186+'ระยอง'!I186+'ราชบุรี'!I186+'ลพบุรี'!I186+'สระแก้ว'!I186+'สระบุรี'!I186+'สิงห์บุรี'!I186+'สุพรรณบุรี'!I186+'อ่างทอง'!I186</f>
        <v>17</v>
      </c>
      <c r="J186" s="238">
        <f>'กาญจนบุรี'!J186+'จันทบุรี'!J186+'ฉะเชิงเทรา'!J186+'ชลบุรี'!J186+'ชัยนาท'!J186+'ตราด'!J186+'นครนายก'!J186+'นครปฐม'!J186+'ปทุมธานี'!J186+'ประจวบคีรีขันธ์'!J186+'ปราจีนบุรี'!J186+'พระนครศรีอยุธยา'!J186+'เพชรบุรี'!J186+'ระยอง'!J186+'ราชบุรี'!J186+'ลพบุรี'!J186+'สระแก้ว'!J186+'สระบุรี'!J186+'สิงห์บุรี'!J186+'สุพรรณบุรี'!J186+'อ่างทอง'!J186</f>
        <v>2</v>
      </c>
      <c r="K186" s="258">
        <f t="shared" si="27"/>
        <v>11.76470588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'กาญจนบุรี'!J187+'จันทบุรี'!J187+'ฉะเชิงเทรา'!J187+'ชลบุรี'!J187+'ชัยนาท'!J187+'ตราด'!J187+'นครนายก'!J187+'นครปฐม'!J187+'ปทุมธานี'!J187+'ประจวบคีรีขันธ์'!J187+'ปราจีนบุรี'!J187+'พระนครศรีอยุธยา'!J187+'เพชรบุรี'!J187+'ระยอง'!J187+'ราชบุรี'!J187+'ลพบุรี'!J187+'สระแก้ว'!J187+'สระบุรี'!J187+'สิงห์บุรี'!J187+'สุพรรณบุรี'!J187+'อ่างทอง'!J187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'กาญจนบุรี'!J188+'จันทบุรี'!J188+'ฉะเชิงเทรา'!J188+'ชลบุรี'!J188+'ชัยนาท'!J188+'ตราด'!J188+'นครนายก'!J188+'นครปฐม'!J188+'ปทุมธานี'!J188+'ประจวบคีรีขันธ์'!J188+'ปราจีนบุรี'!J188+'พระนครศรีอยุธยา'!J188+'เพชรบุรี'!J188+'ระยอง'!J188+'ราชบุรี'!J188+'ลพบุรี'!J188+'สระแก้ว'!J188+'สระบุรี'!J188+'สิงห์บุรี'!J188+'สุพรรณบุรี'!J188+'อ่างทอง'!J188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'กาญจนบุรี'!I189+'จันทบุรี'!I189+'ฉะเชิงเทรา'!I189+'ชลบุรี'!I189+'ชัยนาท'!I189+'ตราด'!I189+'นครนายก'!I189+'นครปฐม'!I189+'ปทุมธานี'!I189+'ประจวบคีรีขันธ์'!I189+'ปราจีนบุรี'!I189+'พระนครศรีอยุธยา'!I189+'เพชรบุรี'!I189+'ระยอง'!I189+'ราชบุรี'!I189+'ลพบุรี'!I189+'สระแก้ว'!I189+'สระบุรี'!I189+'สิงห์บุรี'!I189+'สุพรรณบุรี'!I189+'อ่างทอง'!I189</f>
        <v>451000</v>
      </c>
      <c r="J189" s="317">
        <f>'กาญจนบุรี'!J189+'จันทบุรี'!J189+'ฉะเชิงเทรา'!J189+'ชลบุรี'!J189+'ชัยนาท'!J189+'ตราด'!J189+'นครนายก'!J189+'นครปฐม'!J189+'ปทุมธานี'!J189+'ประจวบคีรีขันธ์'!J189+'ปราจีนบุรี'!J189+'พระนครศรีอยุธยา'!J189+'เพชรบุรี'!J189+'ระยอง'!J189+'ราชบุรี'!J189+'ลพบุรี'!J189+'สระแก้ว'!J189+'สระบุรี'!J189+'สิงห์บุรี'!J189+'สุพรรณบุรี'!J189+'อ่างทอง'!J189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'กาญจนบุรี'!J194+'จันทบุรี'!J194+'ฉะเชิงเทรา'!J194+'ชลบุรี'!J194+'ชัยนาท'!J194+'ตราด'!J194+'นครนายก'!J194+'นครปฐม'!J194+'ปทุมธานี'!J194+'ประจวบคีรีขันธ์'!J194+'ปราจีนบุรี'!J194+'พระนครศรีอยุธยา'!J194+'เพชรบุรี'!J194+'ระยอง'!J194+'ราชบุรี'!J194+'ลพบุรี'!J194+'สระแก้ว'!J194+'สระบุรี'!J194+'สิงห์บุรี'!J194+'สุพรรณบุรี'!J194+'อ่างทอง'!J194</f>
        <v>6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'กาญจนบุรี'!J195+'จันทบุรี'!J195+'ฉะเชิงเทรา'!J195+'ชลบุรี'!J195+'ชัยนาท'!J195+'ตราด'!J195+'นครนายก'!J195+'นครปฐม'!J195+'ปทุมธานี'!J195+'ประจวบคีรีขันธ์'!J195+'ปราจีนบุรี'!J195+'พระนครศรีอยุธยา'!J195+'เพชรบุรี'!J195+'ระยอง'!J195+'ราชบุรี'!J195+'ลพบุรี'!J195+'สระแก้ว'!J195+'สระบุรี'!J195+'สิงห์บุรี'!J195+'สุพรรณบุรี'!J195+'อ่างทอง'!J195</f>
        <v>14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'กาญจนบุรี'!J196+'จันทบุรี'!J196+'ฉะเชิงเทรา'!J196+'ชลบุรี'!J196+'ชัยนาท'!J196+'ตราด'!J196+'นครนายก'!J196+'นครปฐม'!J196+'ปทุมธานี'!J196+'ประจวบคีรีขันธ์'!J196+'ปราจีนบุรี'!J196+'พระนครศรีอยุธยา'!J196+'เพชรบุรี'!J196+'ระยอง'!J196+'ราชบุรี'!J196+'ลพบุรี'!J196+'สระแก้ว'!J196+'สระบุรี'!J196+'สิงห์บุรี'!J196+'สุพรรณบุรี'!J196+'อ่างทอง'!J196</f>
        <v>11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'กาญจนบุรี'!J197+'จันทบุรี'!J197+'ฉะเชิงเทรา'!J197+'ชลบุรี'!J197+'ชัยนาท'!J197+'ตราด'!J197+'นครนายก'!J197+'นครปฐม'!J197+'ปทุมธานี'!J197+'ประจวบคีรีขันธ์'!J197+'ปราจีนบุรี'!J197+'พระนครศรีอยุธยา'!J197+'เพชรบุรี'!J197+'ระยอง'!J197+'ราชบุรี'!J197+'ลพบุรี'!J197+'สระแก้ว'!J197+'สระบุรี'!J197+'สิงห์บุรี'!J197+'สุพรรณบุรี'!J197+'อ่างทอง'!J197</f>
        <v>5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>
        <f>'กาญจนบุรี'!J198+'จันทบุรี'!J198+'ฉะเชิงเทรา'!J198+'ชลบุรี'!J198+'ชัยนาท'!J198+'ตราด'!J198+'นครนายก'!J198+'นครปฐม'!J198+'ปทุมธานี'!J198+'ประจวบคีรีขันธ์'!J198+'ปราจีนบุรี'!J198+'พระนครศรีอยุธยา'!J198+'เพชรบุรี'!J198+'ระยอง'!J198+'ราชบุรี'!J198+'ลพบุรี'!J198+'สระแก้ว'!J198+'สระบุรี'!J198+'สิงห์บุรี'!J198+'สุพรรณบุรี'!J198+'อ่างทอง'!J198</f>
        <v>0</v>
      </c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'กาญจนบุรี'!I199+'จันทบุรี'!I199+'ฉะเชิงเทรา'!I199+'ชลบุรี'!I199+'ชัยนาท'!I199+'ตราด'!I199+'นครนายก'!I199+'นครปฐม'!I199+'ปทุมธานี'!I199+'ประจวบคีรีขันธ์'!I199+'ปราจีนบุรี'!I199+'พระนครศรีอยุธยา'!I199+'เพชรบุรี'!I199+'ระยอง'!I199+'ราชบุรี'!I199+'ลพบุรี'!I199+'สระแก้ว'!I199+'สระบุรี'!I199+'สิงห์บุรี'!I199+'สุพรรณบุรี'!I199+'อ่างทอง'!I199</f>
        <v>451000</v>
      </c>
      <c r="J199" s="223">
        <f>'กาญจนบุรี'!J199+'จันทบุรี'!J199+'ฉะเชิงเทรา'!J199+'ชลบุรี'!J199+'ชัยนาท'!J199+'ตราด'!J199+'นครนายก'!J199+'นครปฐม'!J199+'ปทุมธานี'!J199+'ประจวบคีรีขันธ์'!J199+'ปราจีนบุรี'!J199+'พระนครศรีอยุธยา'!J199+'เพชรบุรี'!J199+'ระยอง'!J199+'ราชบุรี'!J199+'ลพบุรี'!J199+'สระแก้ว'!J199+'สระบุรี'!J199+'สิงห์บุรี'!J199+'สุพรรณบุรี'!J199+'อ่างทอง'!J199</f>
        <v>20000</v>
      </c>
      <c r="K199" s="196">
        <f t="shared" ref="K199:K201" si="28">IF(I199&gt;0,J199*100/I199,0)</f>
        <v>4.4345898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'กาญจนบุรี'!I200+'จันทบุรี'!I200+'ฉะเชิงเทรา'!I200+'ชลบุรี'!I200+'ชัยนาท'!I200+'ตราด'!I200+'นครนายก'!I200+'นครปฐม'!I200+'ปทุมธานี'!I200+'ประจวบคีรีขันธ์'!I200+'ปราจีนบุรี'!I200+'พระนครศรีอยุธยา'!I200+'เพชรบุรี'!I200+'ระยอง'!I200+'ราชบุรี'!I200+'ลพบุรี'!I200+'สระแก้ว'!I200+'สระบุรี'!I200+'สิงห์บุรี'!I200+'สุพรรณบุรี'!I200+'อ่างทอง'!I200</f>
        <v>451000</v>
      </c>
      <c r="J200" s="223">
        <f>'กาญจนบุรี'!J200+'จันทบุรี'!J200+'ฉะเชิงเทรา'!J200+'ชลบุรี'!J200+'ชัยนาท'!J200+'ตราด'!J200+'นครนายก'!J200+'นครปฐม'!J200+'ปทุมธานี'!J200+'ประจวบคีรีขันธ์'!J200+'ปราจีนบุรี'!J200+'พระนครศรีอยุธยา'!J200+'เพชรบุรี'!J200+'ระยอง'!J200+'ราชบุรี'!J200+'ลพบุรี'!J200+'สระแก้ว'!J200+'สระบุรี'!J200+'สิงห์บุรี'!J200+'สุพรรณบุรี'!J200+'อ่างทอง'!J200</f>
        <v>0</v>
      </c>
      <c r="K200" s="196">
        <f t="shared" si="28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'กาญจนบุรี'!I201+'จันทบุรี'!I201+'ฉะเชิงเทรา'!I201+'ชลบุรี'!I201+'ชัยนาท'!I201+'ตราด'!I201+'นครนายก'!I201+'นครปฐม'!I201+'ปทุมธานี'!I201+'ประจวบคีรีขันธ์'!I201+'ปราจีนบุรี'!I201+'พระนครศรีอยุธยา'!I201+'เพชรบุรี'!I201+'ระยอง'!I201+'ราชบุรี'!I201+'ลพบุรี'!I201+'สระแก้ว'!I201+'สระบุรี'!I201+'สิงห์บุรี'!I201+'สุพรรณบุรี'!I201+'อ่างทอง'!I201</f>
        <v>60</v>
      </c>
      <c r="J201" s="223">
        <f>'กาญจนบุรี'!J201+'จันทบุรี'!J201+'ฉะเชิงเทรา'!J201+'ชลบุรี'!J201+'ชัยนาท'!J201+'ตราด'!J201+'นครนายก'!J201+'นครปฐม'!J201+'ปทุมธานี'!J201+'ประจวบคีรีขันธ์'!J201+'ปราจีนบุรี'!J201+'พระนครศรีอยุธยา'!J201+'เพชรบุรี'!J201+'ระยอง'!J201+'ราชบุรี'!J201+'ลพบุรี'!J201+'สระแก้ว'!J201+'สระบุรี'!J201+'สิงห์บุรี'!J201+'สุพรรณบุรี'!J201+'อ่างทอง'!J201</f>
        <v>30</v>
      </c>
      <c r="K201" s="196">
        <f t="shared" si="28"/>
        <v>50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'กาญจนบุรี'!J202+'จันทบุรี'!J202+'ฉะเชิงเทรา'!J202+'ชลบุรี'!J202+'ชัยนาท'!J202+'ตราด'!J202+'นครนายก'!J202+'นครปฐม'!J202+'ปทุมธานี'!J202+'ประจวบคีรีขันธ์'!J202+'ปราจีนบุรี'!J202+'พระนครศรีอยุธยา'!J202+'เพชรบุรี'!J202+'ระยอง'!J202+'ราชบุรี'!J202+'ลพบุรี'!J202+'สระแก้ว'!J202+'สระบุรี'!J202+'สิงห์บุรี'!J202+'สุพรรณบุรี'!J202+'อ่างทอง'!J202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'กาญจนบุรี'!J203+'จันทบุรี'!J203+'ฉะเชิงเทรา'!J203+'ชลบุรี'!J203+'ชัยนาท'!J203+'ตราด'!J203+'นครนายก'!J203+'นครปฐม'!J203+'ปทุมธานี'!J203+'ประจวบคีรีขันธ์'!J203+'ปราจีนบุรี'!J203+'พระนครศรีอยุธยา'!J203+'เพชรบุรี'!J203+'ระยอง'!J203+'ราชบุรี'!J203+'ลพบุรี'!J203+'สระแก้ว'!J203+'สระบุรี'!J203+'สิงห์บุรี'!J203+'สุพรรณบุรี'!J203+'อ่างทอง'!J203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'กาญจนบุรี'!I204+'จันทบุรี'!I204+'ฉะเชิงเทรา'!I204+'ชลบุรี'!I204+'ชัยนาท'!I204+'ตราด'!I204+'นครนายก'!I204+'นครปฐม'!I204+'ปทุมธานี'!I204+'ประจวบคีรีขันธ์'!I204+'ปราจีนบุรี'!I204+'พระนครศรีอยุธยา'!I204+'เพชรบุรี'!I204+'ระยอง'!I204+'ราชบุรี'!I204+'ลพบุรี'!I204+'สระแก้ว'!I204+'สระบุรี'!I204+'สิงห์บุรี'!I204+'สุพรรณบุรี'!I204+'อ่างทอง'!I204</f>
        <v>380</v>
      </c>
      <c r="J204" s="317">
        <f>'กาญจนบุรี'!J204+'จันทบุรี'!J204+'ฉะเชิงเทรา'!J204+'ชลบุรี'!J204+'ชัยนาท'!J204+'ตราด'!J204+'นครนายก'!J204+'นครปฐม'!J204+'ปทุมธานี'!J204+'ประจวบคีรีขันธ์'!J204+'ปราจีนบุรี'!J204+'พระนครศรีอยุธยา'!J204+'เพชรบุรี'!J204+'ระยอง'!J204+'ราชบุรี'!J204+'ลพบุรี'!J204+'สระแก้ว'!J204+'สระบุรี'!J204+'สิงห์บุรี'!J204+'สุพรรณบุรี'!J204+'อ่างทอง'!J204</f>
        <v>150</v>
      </c>
      <c r="K204" s="318">
        <f>IF(I204&gt;0,J204*100/I204,0)</f>
        <v>39.47368421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'กาญจนบุรี'!J209+'จันทบุรี'!J209+'ฉะเชิงเทรา'!J209+'ชลบุรี'!J209+'ชัยนาท'!J209+'ตราด'!J209+'นครนายก'!J209+'นครปฐม'!J209+'ปทุมธานี'!J209+'ประจวบคีรีขันธ์'!J209+'ปราจีนบุรี'!J209+'พระนครศรีอยุธยา'!J209+'เพชรบุรี'!J209+'ระยอง'!J209+'ราชบุรี'!J209+'ลพบุรี'!J209+'สระแก้ว'!J209+'สระบุรี'!J209+'สิงห์บุรี'!J209+'สุพรรณบุรี'!J209+'อ่างทอง'!J209</f>
        <v>2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'กาญจนบุรี'!J210+'จันทบุรี'!J210+'ฉะเชิงเทรา'!J210+'ชลบุรี'!J210+'ชัยนาท'!J210+'ตราด'!J210+'นครนายก'!J210+'นครปฐม'!J210+'ปทุมธานี'!J210+'ประจวบคีรีขันธ์'!J210+'ปราจีนบุรี'!J210+'พระนครศรีอยุธยา'!J210+'เพชรบุรี'!J210+'ระยอง'!J210+'ราชบุรี'!J210+'ลพบุรี'!J210+'สระแก้ว'!J210+'สระบุรี'!J210+'สิงห์บุรี'!J210+'สุพรรณบุรี'!J210+'อ่างทอง'!J210</f>
        <v>9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'กาญจนบุรี'!J211+'จันทบุรี'!J211+'ฉะเชิงเทรา'!J211+'ชลบุรี'!J211+'ชัยนาท'!J211+'ตราด'!J211+'นครนายก'!J211+'นครปฐม'!J211+'ปทุมธานี'!J211+'ประจวบคีรีขันธ์'!J211+'ปราจีนบุรี'!J211+'พระนครศรีอยุธยา'!J211+'เพชรบุรี'!J211+'ระยอง'!J211+'ราชบุรี'!J211+'ลพบุรี'!J211+'สระแก้ว'!J211+'สระบุรี'!J211+'สิงห์บุรี'!J211+'สุพรรณบุรี'!J211+'อ่างทอง'!J211</f>
        <v>8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'กาญจนบุรี'!J212+'จันทบุรี'!J212+'ฉะเชิงเทรา'!J212+'ชลบุรี'!J212+'ชัยนาท'!J212+'ตราด'!J212+'นครนายก'!J212+'นครปฐม'!J212+'ปทุมธานี'!J212+'ประจวบคีรีขันธ์'!J212+'ปราจีนบุรี'!J212+'พระนครศรีอยุธยา'!J212+'เพชรบุรี'!J212+'ระยอง'!J212+'ราชบุรี'!J212+'ลพบุรี'!J212+'สระแก้ว'!J212+'สระบุรี'!J212+'สิงห์บุรี'!J212+'สุพรรณบุรี'!J212+'อ่างทอง'!J212</f>
        <v>6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'กาญจนบุรี'!I213+'จันทบุรี'!I213+'ฉะเชิงเทรา'!I213+'ชลบุรี'!I213+'ชัยนาท'!I213+'ตราด'!I213+'นครนายก'!I213+'นครปฐม'!I213+'ปทุมธานี'!I213+'ประจวบคีรีขันธ์'!I213+'ปราจีนบุรี'!I213+'พระนครศรีอยุธยา'!I213+'เพชรบุรี'!I213+'ระยอง'!I213+'ราชบุรี'!I213+'ลพบุรี'!I213+'สระแก้ว'!I213+'สระบุรี'!I213+'สิงห์บุรี'!I213+'สุพรรณบุรี'!I213+'อ่างทอง'!I213</f>
        <v>380</v>
      </c>
      <c r="J213" s="238">
        <f>'กาญจนบุรี'!J213+'จันทบุรี'!J213+'ฉะเชิงเทรา'!J213+'ชลบุรี'!J213+'ชัยนาท'!J213+'ตราด'!J213+'นครนายก'!J213+'นครปฐม'!J213+'ปทุมธานี'!J213+'ประจวบคีรีขันธ์'!J213+'ปราจีนบุรี'!J213+'พระนครศรีอยุธยา'!J213+'เพชรบุรี'!J213+'ระยอง'!J213+'ราชบุรี'!J213+'ลพบุรี'!J213+'สระแก้ว'!J213+'สระบุรี'!J213+'สิงห์บุรี'!J213+'สุพรรณบุรี'!J213+'อ่างทอง'!J213</f>
        <v>150</v>
      </c>
      <c r="K213" s="258">
        <f>IF(I213&gt;0,J213*100/I213,0)</f>
        <v>39.47368421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>
        <f>'กาญจนบุรี'!I214+'จันทบุรี'!I214+'ฉะเชิงเทรา'!I214+'ชลบุรี'!I214+'ชัยนาท'!I214+'ตราด'!I214+'นครนายก'!I214+'นครปฐม'!I214+'ปทุมธานี'!I214+'ประจวบคีรีขันธ์'!I214+'ปราจีนบุรี'!I214+'พระนครศรีอยุธยา'!I214+'เพชรบุรี'!I214+'ระยอง'!I214+'ราชบุรี'!I214+'ลพบุรี'!I214+'สระแก้ว'!I214+'สระบุรี'!I214+'สิงห์บุรี'!I214+'สุพรรณบุรี'!I214+'อ่างทอง'!I214</f>
        <v>0</v>
      </c>
      <c r="J214" s="222">
        <f>'กาญจนบุรี'!J214+'จันทบุรี'!J214+'ฉะเชิงเทรา'!J214+'ชลบุรี'!J214+'ชัยนาท'!J214+'ตราด'!J214+'นครนายก'!J214+'นครปฐม'!J214+'ปทุมธานี'!J214+'ประจวบคีรีขันธ์'!J214+'ปราจีนบุรี'!J214+'พระนครศรีอยุธยา'!J214+'เพชรบุรี'!J214+'ระยอง'!J214+'ราชบุรี'!J214+'ลพบุรี'!J214+'สระแก้ว'!J214+'สระบุรี'!J214+'สิงห์บุรี'!J214+'สุพรรณบุรี'!J214+'อ่างทอง'!J214</f>
        <v>0</v>
      </c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'กาญจนบุรี'!I215+'จันทบุรี'!I215+'ฉะเชิงเทรา'!I215+'ชลบุรี'!I215+'ชัยนาท'!I215+'ตราด'!I215+'นครนายก'!I215+'นครปฐม'!I215+'ปทุมธานี'!I215+'ประจวบคีรีขันธ์'!I215+'ปราจีนบุรี'!I215+'พระนครศรีอยุธยา'!I215+'เพชรบุรี'!I215+'ระยอง'!I215+'ราชบุรี'!I215+'ลพบุรี'!I215+'สระแก้ว'!I215+'สระบุรี'!I215+'สิงห์บุรี'!I215+'สุพรรณบุรี'!I215+'อ่างทอง'!I215</f>
        <v>120</v>
      </c>
      <c r="J215" s="238">
        <f>'กาญจนบุรี'!J215+'จันทบุรี'!J215+'ฉะเชิงเทรา'!J215+'ชลบุรี'!J215+'ชัยนาท'!J215+'ตราด'!J215+'นครนายก'!J215+'นครปฐม'!J215+'ปทุมธานี'!J215+'ประจวบคีรีขันธ์'!J215+'ปราจีนบุรี'!J215+'พระนครศรีอยุธยา'!J215+'เพชรบุรี'!J215+'ระยอง'!J215+'ราชบุรี'!J215+'ลพบุรี'!J215+'สระแก้ว'!J215+'สระบุรี'!J215+'สิงห์บุรี'!J215+'สุพรรณบุรี'!J215+'อ่างทอง'!J215</f>
        <v>0</v>
      </c>
      <c r="K215" s="258">
        <f t="shared" ref="K215:K216" si="29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'กาญจนบุรี'!I216+'จันทบุรี'!I216+'ฉะเชิงเทรา'!I216+'ชลบุรี'!I216+'ชัยนาท'!I216+'ตราด'!I216+'นครนายก'!I216+'นครปฐม'!I216+'ปทุมธานี'!I216+'ประจวบคีรีขันธ์'!I216+'ปราจีนบุรี'!I216+'พระนครศรีอยุธยา'!I216+'เพชรบุรี'!I216+'ระยอง'!I216+'ราชบุรี'!I216+'ลพบุรี'!I216+'สระแก้ว'!I216+'สระบุรี'!I216+'สิงห์บุรี'!I216+'สุพรรณบุรี'!I216+'อ่างทอง'!I216</f>
        <v>10</v>
      </c>
      <c r="J216" s="238">
        <f>'กาญจนบุรี'!J216+'จันทบุรี'!J216+'ฉะเชิงเทรา'!J216+'ชลบุรี'!J216+'ชัยนาท'!J216+'ตราด'!J216+'นครนายก'!J216+'นครปฐม'!J216+'ปทุมธานี'!J216+'ประจวบคีรีขันธ์'!J216+'ปราจีนบุรี'!J216+'พระนครศรีอยุธยา'!J216+'เพชรบุรี'!J216+'ระยอง'!J216+'ราชบุรี'!J216+'ลพบุรี'!J216+'สระแก้ว'!J216+'สระบุรี'!J216+'สิงห์บุรี'!J216+'สุพรรณบุรี'!J216+'อ่างทอง'!J216</f>
        <v>0</v>
      </c>
      <c r="K216" s="258">
        <f t="shared" si="29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'กาญจนบุรี'!J217+'จันทบุรี'!J217+'ฉะเชิงเทรา'!J217+'ชลบุรี'!J217+'ชัยนาท'!J217+'ตราด'!J217+'นครนายก'!J217+'นครปฐม'!J217+'ปทุมธานี'!J217+'ประจวบคีรีขันธ์'!J217+'ปราจีนบุรี'!J217+'พระนครศรีอยุธยา'!J217+'เพชรบุรี'!J217+'ระยอง'!J217+'ราชบุรี'!J217+'ลพบุรี'!J217+'สระแก้ว'!J217+'สระบุรี'!J217+'สิงห์บุรี'!J217+'สุพรรณบุรี'!J217+'อ่างทอง'!J217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'กาญจนบุรี'!J218+'จันทบุรี'!J218+'ฉะเชิงเทรา'!J218+'ชลบุรี'!J218+'ชัยนาท'!J218+'ตราด'!J218+'นครนายก'!J218+'นครปฐม'!J218+'ปทุมธานี'!J218+'ประจวบคีรีขันธ์'!J218+'ปราจีนบุรี'!J218+'พระนครศรีอยุธยา'!J218+'เพชรบุรี'!J218+'ระยอง'!J218+'ราชบุรี'!J218+'ลพบุรี'!J218+'สระแก้ว'!J218+'สระบุรี'!J218+'สิงห์บุรี'!J218+'สุพรรณบุรี'!J218+'อ่างทอง'!J218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'กาญจนบุรี'!I219+'จันทบุรี'!I219+'ฉะเชิงเทรา'!I219+'ชลบุรี'!I219+'ชัยนาท'!I219+'ตราด'!I219+'นครนายก'!I219+'นครปฐม'!I219+'ปทุมธานี'!I219+'ประจวบคีรีขันธ์'!I219+'ปราจีนบุรี'!I219+'พระนครศรีอยุธยา'!I219+'เพชรบุรี'!I219+'ระยอง'!I219+'ราชบุรี'!I219+'ลพบุรี'!I219+'สระแก้ว'!I219+'สระบุรี'!I219+'สิงห์บุรี'!I219+'สุพรรณบุรี'!I219+'อ่างทอง'!I219</f>
        <v>256</v>
      </c>
      <c r="J219" s="301">
        <f>'กาญจนบุรี'!J219+'จันทบุรี'!J219+'ฉะเชิงเทรา'!J219+'ชลบุรี'!J219+'ชัยนาท'!J219+'ตราด'!J219+'นครนายก'!J219+'นครปฐม'!J219+'ปทุมธานี'!J219+'ประจวบคีรีขันธ์'!J219+'ปราจีนบุรี'!J219+'พระนครศรีอยุธยา'!J219+'เพชรบุรี'!J219+'ระยอง'!J219+'ราชบุรี'!J219+'ลพบุรี'!J219+'สระแก้ว'!J219+'สระบุรี'!J219+'สิงห์บุรี'!J219+'สุพรรณบุรี'!J219+'อ่างทอง'!J219</f>
        <v>207</v>
      </c>
      <c r="K219" s="302">
        <f>IF(I219&gt;0,J219*100/I219,0)</f>
        <v>80.859375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>'กาญจนบุรี'!L220+'จันทบุรี'!L220+'ฉะเชิงเทรา'!L220+'ชลบุรี'!L220+'ชัยนาท'!L220+'ตราด'!L220+'นครนายก'!L220+'นครปฐม'!L220+'ปทุมธานี'!L220+'ประจวบคีรีขันธ์'!L220+'ปราจีนบุรี'!L220+'พระนครศรีอยุธยา'!L220+'เพชรบุรี'!L220+'ระยอง'!L220+'ราชบุรี'!L220+'ลพบุรี'!L220+'สระแก้ว'!L220+'สระบุรี'!L220+'สิงห์บุรี'!L220+'สุพรรณบุรี'!L220+'อ่างทอง'!L220</f>
        <v>367440</v>
      </c>
      <c r="M220" s="183">
        <f>'กาญจนบุรี'!M220+'จันทบุรี'!M220+'ฉะเชิงเทรา'!M220+'ชลบุรี'!M220+'ชัยนาท'!M220+'ตราด'!M220+'นครนายก'!M220+'นครปฐม'!M220+'ปทุมธานี'!M220+'ประจวบคีรีขันธ์'!M220+'ปราจีนบุรี'!M220+'พระนครศรีอยุธยา'!M220+'เพชรบุรี'!M220+'ระยอง'!M220+'ราชบุรี'!M220+'ลพบุรี'!M220+'สระแก้ว'!M220+'สระบุรี'!M220+'สิงห์บุรี'!M220+'สุพรรณบุรี'!M220+'อ่างทอง'!M220</f>
        <v>367440</v>
      </c>
      <c r="N220" s="183">
        <f>'กาญจนบุรี'!N220+'จันทบุรี'!N220+'ฉะเชิงเทรา'!N220+'ชลบุรี'!N220+'ชัยนาท'!N220+'ตราด'!N220+'นครนายก'!N220+'นครปฐม'!N220+'ปทุมธานี'!N220+'ประจวบคีรีขันธ์'!N220+'ปราจีนบุรี'!N220+'พระนครศรีอยุธยา'!N220+'เพชรบุรี'!N220+'ระยอง'!N220+'ราชบุรี'!N220+'ลพบุรี'!N220+'สระแก้ว'!N220+'สระบุรี'!N220+'สิงห์บุรี'!N220+'สุพรรณบุรี'!N220+'อ่างทอง'!N220</f>
        <v>316523</v>
      </c>
      <c r="O220" s="182">
        <f t="shared" ref="O220:O222" si="30">IF(L220&gt;0,N220*100/L220,0)</f>
        <v>86.14277161</v>
      </c>
      <c r="P220" s="182">
        <f t="shared" ref="P220:P222" si="31">IF(M220&gt;0,N220*100/M220,0)</f>
        <v>86.14277161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>'กาญจนบุรี'!L221+'จันทบุรี'!L221+'ฉะเชิงเทรา'!L221+'ชลบุรี'!L221+'ชัยนาท'!L221+'ตราด'!L221+'นครนายก'!L221+'นครปฐม'!L221+'ปทุมธานี'!L221+'ประจวบคีรีขันธ์'!L221+'ปราจีนบุรี'!L221+'พระนครศรีอยุธยา'!L221+'เพชรบุรี'!L221+'ระยอง'!L221+'ราชบุรี'!L221+'ลพบุรี'!L221+'สระแก้ว'!L221+'สระบุรี'!L221+'สิงห์บุรี'!L221+'สุพรรณบุรี'!L221+'อ่างทอง'!L221</f>
        <v>0</v>
      </c>
      <c r="M221" s="188">
        <f>'กาญจนบุรี'!M221+'จันทบุรี'!M221+'ฉะเชิงเทรา'!M221+'ชลบุรี'!M221+'ชัยนาท'!M221+'ตราด'!M221+'นครนายก'!M221+'นครปฐม'!M221+'ปทุมธานี'!M221+'ประจวบคีรีขันธ์'!M221+'ปราจีนบุรี'!M221+'พระนครศรีอยุธยา'!M221+'เพชรบุรี'!M221+'ระยอง'!M221+'ราชบุรี'!M221+'ลพบุรี'!M221+'สระแก้ว'!M221+'สระบุรี'!M221+'สิงห์บุรี'!M221+'สุพรรณบุรี'!M221+'อ่างทอง'!M221</f>
        <v>0</v>
      </c>
      <c r="N221" s="188">
        <f>'กาญจนบุรี'!N221+'จันทบุรี'!N221+'ฉะเชิงเทรา'!N221+'ชลบุรี'!N221+'ชัยนาท'!N221+'ตราด'!N221+'นครนายก'!N221+'นครปฐม'!N221+'ปทุมธานี'!N221+'ประจวบคีรีขันธ์'!N221+'ปราจีนบุรี'!N221+'พระนครศรีอยุธยา'!N221+'เพชรบุรี'!N221+'ระยอง'!N221+'ราชบุรี'!N221+'ลพบุรี'!N221+'สระแก้ว'!N221+'สระบุรี'!N221+'สิงห์บุรี'!N221+'สุพรรณบุรี'!N221+'อ่างทอง'!N221</f>
        <v>0</v>
      </c>
      <c r="O221" s="187">
        <f t="shared" si="30"/>
        <v>0</v>
      </c>
      <c r="P221" s="187">
        <f t="shared" si="31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>'กาญจนบุรี'!L222+'จันทบุรี'!L222+'ฉะเชิงเทรา'!L222+'ชลบุรี'!L222+'ชัยนาท'!L222+'ตราด'!L222+'นครนายก'!L222+'นครปฐม'!L222+'ปทุมธานี'!L222+'ประจวบคีรีขันธ์'!L222+'ปราจีนบุรี'!L222+'พระนครศรีอยุธยา'!L222+'เพชรบุรี'!L222+'ระยอง'!L222+'ราชบุรี'!L222+'ลพบุรี'!L222+'สระแก้ว'!L222+'สระบุรี'!L222+'สิงห์บุรี'!L222+'สุพรรณบุรี'!L222+'อ่างทอง'!L222</f>
        <v>367440</v>
      </c>
      <c r="M222" s="188">
        <f>'กาญจนบุรี'!M222+'จันทบุรี'!M222+'ฉะเชิงเทรา'!M222+'ชลบุรี'!M222+'ชัยนาท'!M222+'ตราด'!M222+'นครนายก'!M222+'นครปฐม'!M222+'ปทุมธานี'!M222+'ประจวบคีรีขันธ์'!M222+'ปราจีนบุรี'!M222+'พระนครศรีอยุธยา'!M222+'เพชรบุรี'!M222+'ระยอง'!M222+'ราชบุรี'!M222+'ลพบุรี'!M222+'สระแก้ว'!M222+'สระบุรี'!M222+'สิงห์บุรี'!M222+'สุพรรณบุรี'!M222+'อ่างทอง'!M222</f>
        <v>367440</v>
      </c>
      <c r="N222" s="188">
        <f>'กาญจนบุรี'!N222+'จันทบุรี'!N222+'ฉะเชิงเทรา'!N222+'ชลบุรี'!N222+'ชัยนาท'!N222+'ตราด'!N222+'นครนายก'!N222+'นครปฐม'!N222+'ปทุมธานี'!N222+'ประจวบคีรีขันธ์'!N222+'ปราจีนบุรี'!N222+'พระนครศรีอยุธยา'!N222+'เพชรบุรี'!N222+'ระยอง'!N222+'ราชบุรี'!N222+'ลพบุรี'!N222+'สระแก้ว'!N222+'สระบุรี'!N222+'สิงห์บุรี'!N222+'สุพรรณบุรี'!N222+'อ่างทอง'!N222</f>
        <v>316523</v>
      </c>
      <c r="O222" s="187">
        <f t="shared" si="30"/>
        <v>86.14277161</v>
      </c>
      <c r="P222" s="187">
        <f t="shared" si="31"/>
        <v>86.14277161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f>'กาญจนบุรี'!L223+'จันทบุรี'!L223+'ฉะเชิงเทรา'!L223+'ชลบุรี'!L223+'ชัยนาท'!L223+'ตราด'!L223+'นครนายก'!L223+'นครปฐม'!L223+'ปทุมธานี'!L223+'ประจวบคีรีขันธ์'!L223+'ปราจีนบุรี'!L223+'พระนครศรีอยุธยา'!L223+'เพชรบุรี'!L223+'ระยอง'!L223+'ราชบุรี'!L223+'ลพบุรี'!L223+'สระแก้ว'!L223+'สระบุรี'!L223+'สิงห์บุรี'!L223+'สุพรรณบุรี'!L223+'อ่างทอง'!L223</f>
        <v>0</v>
      </c>
      <c r="M223" s="197">
        <f>'กาญจนบุรี'!M223+'จันทบุรี'!M223+'ฉะเชิงเทรา'!M223+'ชลบุรี'!M223+'ชัยนาท'!M223+'ตราด'!M223+'นครนายก'!M223+'นครปฐม'!M223+'ปทุมธานี'!M223+'ประจวบคีรีขันธ์'!M223+'ปราจีนบุรี'!M223+'พระนครศรีอยุธยา'!M223+'เพชรบุรี'!M223+'ระยอง'!M223+'ราชบุรี'!M223+'ลพบุรี'!M223+'สระแก้ว'!M223+'สระบุรี'!M223+'สิงห์บุรี'!M223+'สุพรรณบุรี'!M223+'อ่างทอง'!M223</f>
        <v>0</v>
      </c>
      <c r="N223" s="197">
        <f>'กาญจนบุรี'!N223+'จันทบุรี'!N223+'ฉะเชิงเทรา'!N223+'ชลบุรี'!N223+'ชัยนาท'!N223+'ตราด'!N223+'นครนายก'!N223+'นครปฐม'!N223+'ปทุมธานี'!N223+'ประจวบคีรีขันธ์'!N223+'ปราจีนบุรี'!N223+'พระนครศรีอยุธยา'!N223+'เพชรบุรี'!N223+'ระยอง'!N223+'ราชบุรี'!N223+'ลพบุรี'!N223+'สระแก้ว'!N223+'สระบุรี'!N223+'สิงห์บุรี'!N223+'สุพรรณบุรี'!N223+'อ่างทอง'!N223</f>
        <v>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'กาญจนบุรี'!L224+'จันทบุรี'!L224+'ฉะเชิงเทรา'!L224+'ชลบุรี'!L224+'ชัยนาท'!L224+'ตราด'!L224+'นครนายก'!L224+'นครปฐม'!L224+'ปทุมธานี'!L224+'ประจวบคีรีขันธ์'!L224+'ปราจีนบุรี'!L224+'พระนครศรีอยุธยา'!L224+'เพชรบุรี'!L224+'ระยอง'!L224+'ราชบุรี'!L224+'ลพบุรี'!L224+'สระแก้ว'!L224+'สระบุรี'!L224+'สิงห์บุรี'!L224+'สุพรรณบุรี'!L224+'อ่างทอง'!L224</f>
        <v>367440</v>
      </c>
      <c r="M224" s="201">
        <f>'กาญจนบุรี'!M224+'จันทบุรี'!M224+'ฉะเชิงเทรา'!M224+'ชลบุรี'!M224+'ชัยนาท'!M224+'ตราด'!M224+'นครนายก'!M224+'นครปฐม'!M224+'ปทุมธานี'!M224+'ประจวบคีรีขันธ์'!M224+'ปราจีนบุรี'!M224+'พระนครศรีอยุธยา'!M224+'เพชรบุรี'!M224+'ระยอง'!M224+'ราชบุรี'!M224+'ลพบุรี'!M224+'สระแก้ว'!M224+'สระบุรี'!M224+'สิงห์บุรี'!M224+'สุพรรณบุรี'!M224+'อ่างทอง'!M224</f>
        <v>367440</v>
      </c>
      <c r="N224" s="202">
        <f>'กาญจนบุรี'!N224+'จันทบุรี'!N224+'ฉะเชิงเทรา'!N224+'ชลบุรี'!N224+'ชัยนาท'!N224+'ตราด'!N224+'นครนายก'!N224+'นครปฐม'!N224+'ปทุมธานี'!N224+'ประจวบคีรีขันธ์'!N224+'ปราจีนบุรี'!N224+'พระนครศรีอยุธยา'!N224+'เพชรบุรี'!N224+'ระยอง'!N224+'ราชบุรี'!N224+'ลพบุรี'!N224+'สระแก้ว'!N224+'สระบุรี'!N224+'สิงห์บุรี'!N224+'สุพรรณบุรี'!N224+'อ่างทอง'!N224</f>
        <v>316523</v>
      </c>
      <c r="O224" s="203">
        <f>IF(L224&gt;0,N224*100/L224,0)</f>
        <v>86.14277161</v>
      </c>
      <c r="P224" s="203">
        <f>IF(M224&gt;0,N224*100/M224,0)</f>
        <v>86.14277161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'กาญจนบุรี'!L225+'จันทบุรี'!L225+'ฉะเชิงเทรา'!L225+'ชลบุรี'!L225+'ชัยนาท'!L225+'ตราด'!L225+'นครนายก'!L225+'นครปฐม'!L225+'ปทุมธานี'!L225+'ประจวบคีรีขันธ์'!L225+'ปราจีนบุรี'!L225+'พระนครศรีอยุธยา'!L225+'เพชรบุรี'!L225+'ระยอง'!L225+'ราชบุรี'!L225+'ลพบุรี'!L225+'สระแก้ว'!L225+'สระบุรี'!L225+'สิงห์บุรี'!L225+'สุพรรณบุรี'!L225+'อ่างทอง'!L225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'กาญจนบุรี'!L226+'จันทบุรี'!L226+'ฉะเชิงเทรา'!L226+'ชลบุรี'!L226+'ชัยนาท'!L226+'ตราด'!L226+'นครนายก'!L226+'นครปฐม'!L226+'ปทุมธานี'!L226+'ประจวบคีรีขันธ์'!L226+'ปราจีนบุรี'!L226+'พระนครศรีอยุธยา'!L226+'เพชรบุรี'!L226+'ระยอง'!L226+'ราชบุรี'!L226+'ลพบุรี'!L226+'สระแก้ว'!L226+'สระบุรี'!L226+'สิงห์บุรี'!L226+'สุพรรณบุรี'!L226+'อ่างทอง'!L226</f>
        <v>367440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f>'กาญจนบุรี'!L227+'จันทบุรี'!L227+'ฉะเชิงเทรา'!L227+'ชลบุรี'!L227+'ชัยนาท'!L227+'ตราด'!L227+'นครนายก'!L227+'นครปฐม'!L227+'ปทุมธานี'!L227+'ประจวบคีรีขันธ์'!L227+'ปราจีนบุรี'!L227+'พระนครศรีอยุธยา'!L227+'เพชรบุรี'!L227+'ระยอง'!L227+'ราชบุรี'!L227+'ลพบุรี'!L227+'สระแก้ว'!L227+'สระบุรี'!L227+'สิงห์บุรี'!L227+'สุพรรณบุรี'!L227+'อ่างทอง'!L227</f>
        <v>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'กาญจนบุรี'!L228+'จันทบุรี'!L228+'ฉะเชิงเทรา'!L228+'ชลบุรี'!L228+'ชัยนาท'!L228+'ตราด'!L228+'นครนายก'!L228+'นครปฐม'!L228+'ปทุมธานี'!L228+'ประจวบคีรีขันธ์'!L228+'ปราจีนบุรี'!L228+'พระนครศรีอยุธยา'!L228+'เพชรบุรี'!L228+'ระยอง'!L228+'ราชบุรี'!L228+'ลพบุรี'!L228+'สระแก้ว'!L228+'สระบุรี'!L228+'สิงห์บุรี'!L228+'สุพรรณบุรี'!L228+'อ่างทอง'!L228</f>
        <v>0</v>
      </c>
      <c r="M228" s="125"/>
      <c r="N228" s="115">
        <f>'กาญจนบุรี'!N228+'จันทบุรี'!N228+'ฉะเชิงเทรา'!N228+'ชลบุรี'!N228+'ชัยนาท'!N228+'ตราด'!N228+'นครนายก'!N228+'นครปฐม'!N228+'ปทุมธานี'!N228+'ประจวบคีรีขันธ์'!N228+'ปราจีนบุรี'!N228+'พระนครศรีอยุธยา'!N228+'เพชรบุรี'!N228+'ระยอง'!N228+'ราชบุรี'!N228+'ลพบุรี'!N228+'สระแก้ว'!N228+'สระบุรี'!N228+'สิงห์บุรี'!N228+'สุพรรณบุรี'!N228+'อ่างทอง'!N228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'กาญจนบุรี'!I229+'จันทบุรี'!I229+'ฉะเชิงเทรา'!I229+'ชลบุรี'!I229+'ชัยนาท'!I229+'ตราด'!I229+'นครนายก'!I229+'นครปฐม'!I229+'ปทุมธานี'!I229+'ประจวบคีรีขันธ์'!I229+'ปราจีนบุรี'!I229+'พระนครศรีอยุธยา'!I229+'เพชรบุรี'!I229+'ระยอง'!I229+'ราชบุรี'!I229+'ลพบุรี'!I229+'สระแก้ว'!I229+'สระบุรี'!I229+'สิงห์บุรี'!I229+'สุพรรณบุรี'!I229+'อ่างทอง'!I229</f>
        <v>256</v>
      </c>
      <c r="J229" s="301">
        <f>'กาญจนบุรี'!J229+'จันทบุรี'!J229+'ฉะเชิงเทรา'!J229+'ชลบุรี'!J229+'ชัยนาท'!J229+'ตราด'!J229+'นครนายก'!J229+'นครปฐม'!J229+'ปทุมธานี'!J229+'ประจวบคีรีขันธ์'!J229+'ปราจีนบุรี'!J229+'พระนครศรีอยุธยา'!J229+'เพชรบุรี'!J229+'ระยอง'!J229+'ราชบุรี'!J229+'ลพบุรี'!J229+'สระแก้ว'!J229+'สระบุรี'!J229+'สิงห์บุรี'!J229+'สุพรรณบุรี'!J229+'อ่างทอง'!J229</f>
        <v>207</v>
      </c>
      <c r="K229" s="302">
        <f>IF(I229&gt;0,J229*100/I229,0)</f>
        <v>80.859375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'กาญจนบุรี'!J231+'จันทบุรี'!J231+'ฉะเชิงเทรา'!J231+'ชลบุรี'!J231+'ชัยนาท'!J231+'ตราด'!J231+'นครนายก'!J231+'นครปฐม'!J231+'ปทุมธานี'!J231+'ประจวบคีรีขันธ์'!J231+'ปราจีนบุรี'!J231+'พระนครศรีอยุธยา'!J231+'เพชรบุรี'!J231+'ระยอง'!J231+'ราชบุรี'!J231+'ลพบุรี'!J231+'สระแก้ว'!J231+'สระบุรี'!J231+'สิงห์บุรี'!J231+'สุพรรณบุรี'!J231+'อ่างทอง'!J231</f>
        <v>16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'กาญจนบุรี'!J232+'จันทบุรี'!J232+'ฉะเชิงเทรา'!J232+'ชลบุรี'!J232+'ชัยนาท'!J232+'ตราด'!J232+'นครนายก'!J232+'นครปฐม'!J232+'ปทุมธานี'!J232+'ประจวบคีรีขันธ์'!J232+'ปราจีนบุรี'!J232+'พระนครศรีอยุธยา'!J232+'เพชรบุรี'!J232+'ระยอง'!J232+'ราชบุรี'!J232+'ลพบุรี'!J232+'สระแก้ว'!J232+'สระบุรี'!J232+'สิงห์บุรี'!J232+'สุพรรณบุรี'!J232+'อ่างทอง'!J232</f>
        <v>15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'กาญจนบุรี'!J233+'จันทบุรี'!J233+'ฉะเชิงเทรา'!J233+'ชลบุรี'!J233+'ชัยนาท'!J233+'ตราด'!J233+'นครนายก'!J233+'นครปฐม'!J233+'ปทุมธานี'!J233+'ประจวบคีรีขันธ์'!J233+'ปราจีนบุรี'!J233+'พระนครศรีอยุธยา'!J233+'เพชรบุรี'!J233+'ระยอง'!J233+'ราชบุรี'!J233+'ลพบุรี'!J233+'สระแก้ว'!J233+'สระบุรี'!J233+'สิงห์บุรี'!J233+'สุพรรณบุรี'!J233+'อ่างทอง'!J233</f>
        <v>15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'กาญจนบุรี'!J234+'จันทบุรี'!J234+'ฉะเชิงเทรา'!J234+'ชลบุรี'!J234+'ชัยนาท'!J234+'ตราด'!J234+'นครนายก'!J234+'นครปฐม'!J234+'ปทุมธานี'!J234+'ประจวบคีรีขันธ์'!J234+'ปราจีนบุรี'!J234+'พระนครศรีอยุธยา'!J234+'เพชรบุรี'!J234+'ระยอง'!J234+'ราชบุรี'!J234+'ลพบุรี'!J234+'สระแก้ว'!J234+'สระบุรี'!J234+'สิงห์บุรี'!J234+'สุพรรณบุรี'!J234+'อ่างทอง'!J234</f>
        <v>11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'กาญจนบุรี'!I235+'จันทบุรี'!I235+'ฉะเชิงเทรา'!I235+'ชลบุรี'!I235+'ชัยนาท'!I235+'ตราด'!I235+'นครนายก'!I235+'นครปฐม'!I235+'ปทุมธานี'!I235+'ประจวบคีรีขันธ์'!I235+'ปราจีนบุรี'!I235+'พระนครศรีอยุธยา'!I235+'เพชรบุรี'!I235+'ระยอง'!I235+'ราชบุรี'!I235+'ลพบุรี'!I235+'สระแก้ว'!I235+'สระบุรี'!I235+'สิงห์บุรี'!I235+'สุพรรณบุรี'!I235+'อ่างทอง'!I235</f>
        <v>256</v>
      </c>
      <c r="J235" s="223">
        <f>'กาญจนบุรี'!J235+'จันทบุรี'!J235+'ฉะเชิงเทรา'!J235+'ชลบุรี'!J235+'ชัยนาท'!J235+'ตราด'!J235+'นครนายก'!J235+'นครปฐม'!J235+'ปทุมธานี'!J235+'ประจวบคีรีขันธ์'!J235+'ปราจีนบุรี'!J235+'พระนครศรีอยุธยา'!J235+'เพชรบุรี'!J235+'ระยอง'!J235+'ราชบุรี'!J235+'ลพบุรี'!J235+'สระแก้ว'!J235+'สระบุรี'!J235+'สิงห์บุรี'!J235+'สุพรรณบุรี'!J235+'อ่างทอง'!J235</f>
        <v>207</v>
      </c>
      <c r="K235" s="196">
        <f>IF(I235&gt;0,J235*100/I235,0)</f>
        <v>80.859375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'กาญจนบุรี'!J236+'จันทบุรี'!J236+'ฉะเชิงเทรา'!J236+'ชลบุรี'!J236+'ชัยนาท'!J236+'ตราด'!J236+'นครนายก'!J236+'นครปฐม'!J236+'ปทุมธานี'!J236+'ประจวบคีรีขันธ์'!J236+'ปราจีนบุรี'!J236+'พระนครศรีอยุธยา'!J236+'เพชรบุรี'!J236+'ระยอง'!J236+'ราชบุรี'!J236+'ลพบุรี'!J236+'สระแก้ว'!J236+'สระบุรี'!J236+'สิงห์บุรี'!J236+'สุพรรณบุรี'!J236+'อ่างทอง'!J236</f>
        <v>3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'กาญจนบุรี'!J237+'จันทบุรี'!J237+'ฉะเชิงเทรา'!J237+'ชลบุรี'!J237+'ชัยนาท'!J237+'ตราด'!J237+'นครนายก'!J237+'นครปฐม'!J237+'ปทุมธานี'!J237+'ประจวบคีรีขันธ์'!J237+'ปราจีนบุรี'!J237+'พระนครศรีอยุธยา'!J237+'เพชรบุรี'!J237+'ระยอง'!J237+'ราชบุรี'!J237+'ลพบุรี'!J237+'สระแก้ว'!J237+'สระบุรี'!J237+'สิงห์บุรี'!J237+'สุพรรณบุรี'!J237+'อ่างทอง'!J237</f>
        <v>2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'กาญจนบุรี'!I238+'จันทบุรี'!I238+'ฉะเชิงเทรา'!I238+'ชลบุรี'!I238+'ชัยนาท'!I238+'ตราด'!I238+'นครนายก'!I238+'นครปฐม'!I238+'ปทุมธานี'!I238+'ประจวบคีรีขันธ์'!I238+'ปราจีนบุรี'!I238+'พระนครศรีอยุธยา'!I238+'เพชรบุรี'!I238+'ระยอง'!I238+'ราชบุรี'!I238+'ลพบุรี'!I238+'สระแก้ว'!I238+'สระบุรี'!I238+'สิงห์บุรี'!I238+'สุพรรณบุรี'!I238+'อ่างทอง'!I238</f>
        <v>0</v>
      </c>
      <c r="J238" s="301">
        <f>'กาญจนบุรี'!J238+'จันทบุรี'!J238+'ฉะเชิงเทรา'!J238+'ชลบุรี'!J238+'ชัยนาท'!J238+'ตราด'!J238+'นครนายก'!J238+'นครปฐม'!J238+'ปทุมธานี'!J238+'ประจวบคีรีขันธ์'!J238+'ปราจีนบุรี'!J238+'พระนครศรีอยุธยา'!J238+'เพชรบุรี'!J238+'ระยอง'!J238+'ราชบุรี'!J238+'ลพบุรี'!J238+'สระแก้ว'!J238+'สระบุรี'!J238+'สิงห์บุรี'!J238+'สุพรรณบุรี'!J238+'อ่างทอง'!J238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IFERROR(__xludf.DUMMYFUNCTION("IMPORTRANGE(""https://docs.google.com/spreadsheets/d/1SX6NBoVAgQJ6U1MVXOaj8PK2l7WJ3RER9xtqwdhxkhw/edit?usp=sharing"",""กาญจนบุรี!J159"")"),"")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'กาญจนบุรี'!J241+'จันทบุรี'!J241+'ฉะเชิงเทรา'!J241+'ชลบุรี'!J241+'ชัยนาท'!J241+'ตราด'!J241+'นครนายก'!J241+'นครปฐม'!J241+'ปทุมธานี'!J241+'ประจวบคีรีขันธ์'!J241+'ปราจีนบุรี'!J241+'พระนครศรีอยุธยา'!J241+'เพชรบุรี'!J241+'ระยอง'!J241+'ราชบุรี'!J241+'ลพบุรี'!J241+'สระแก้ว'!J241+'สระบุรี'!J241+'สิงห์บุรี'!J241+'สุพรรณบุรี'!J241+'อ่างทอง'!J241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'กาญจนบุรี'!J242+'จันทบุรี'!J242+'ฉะเชิงเทรา'!J242+'ชลบุรี'!J242+'ชัยนาท'!J242+'ตราด'!J242+'นครนายก'!J242+'นครปฐม'!J242+'ปทุมธานี'!J242+'ประจวบคีรีขันธ์'!J242+'ปราจีนบุรี'!J242+'พระนครศรีอยุธยา'!J242+'เพชรบุรี'!J242+'ระยอง'!J242+'ราชบุรี'!J242+'ลพบุรี'!J242+'สระแก้ว'!J242+'สระบุรี'!J242+'สิงห์บุรี'!J242+'สุพรรณบุรี'!J242+'อ่างทอง'!J242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'กาญจนบุรี'!J243+'จันทบุรี'!J243+'ฉะเชิงเทรา'!J243+'ชลบุรี'!J243+'ชัยนาท'!J243+'ตราด'!J243+'นครนายก'!J243+'นครปฐม'!J243+'ปทุมธานี'!J243+'ประจวบคีรีขันธ์'!J243+'ปราจีนบุรี'!J243+'พระนครศรีอยุธยา'!J243+'เพชรบุรี'!J243+'ระยอง'!J243+'ราชบุรี'!J243+'ลพบุรี'!J243+'สระแก้ว'!J243+'สระบุรี'!J243+'สิงห์บุรี'!J243+'สุพรรณบุรี'!J243+'อ่างทอง'!J243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'กาญจนบุรี'!I244+'จันทบุรี'!I244+'ฉะเชิงเทรา'!I244+'ชลบุรี'!I244+'ชัยนาท'!I244+'ตราด'!I244+'นครนายก'!I244+'นครปฐม'!I244+'ปทุมธานี'!I244+'ประจวบคีรีขันธ์'!I244+'ปราจีนบุรี'!I244+'พระนครศรีอยุธยา'!I244+'เพชรบุรี'!I244+'ระยอง'!I244+'ราชบุรี'!I244+'ลพบุรี'!I244+'สระแก้ว'!I244+'สระบุรี'!I244+'สิงห์บุรี'!I244+'สุพรรณบุรี'!I244+'อ่างทอง'!I244</f>
        <v>0</v>
      </c>
      <c r="J244" s="222">
        <f>'กาญจนบุรี'!J244+'จันทบุรี'!J244+'ฉะเชิงเทรา'!J244+'ชลบุรี'!J244+'ชัยนาท'!J244+'ตราด'!J244+'นครนายก'!J244+'นครปฐม'!J244+'ปทุมธานี'!J244+'ประจวบคีรีขันธ์'!J244+'ปราจีนบุรี'!J244+'พระนครศรีอยุธยา'!J244+'เพชรบุรี'!J244+'ระยอง'!J244+'ราชบุรี'!J244+'ลพบุรี'!J244+'สระแก้ว'!J244+'สระบุรี'!J244+'สิงห์บุรี'!J244+'สุพรรณบุรี'!J244+'อ่างทอง'!J244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'กาญจนบุรี'!J245+'จันทบุรี'!J245+'ฉะเชิงเทรา'!J245+'ชลบุรี'!J245+'ชัยนาท'!J245+'ตราด'!J245+'นครนายก'!J245+'นครปฐม'!J245+'ปทุมธานี'!J245+'ประจวบคีรีขันธ์'!J245+'ปราจีนบุรี'!J245+'พระนครศรีอยุธยา'!J245+'เพชรบุรี'!J245+'ระยอง'!J245+'ราชบุรี'!J245+'ลพบุรี'!J245+'สระแก้ว'!J245+'สระบุรี'!J245+'สิงห์บุรี'!J245+'สุพรรณบุรี'!J245+'อ่างทอง'!J245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'กาญจนบุรี'!J246+'จันทบุรี'!J246+'ฉะเชิงเทรา'!J246+'ชลบุรี'!J246+'ชัยนาท'!J246+'ตราด'!J246+'นครนายก'!J246+'นครปฐม'!J246+'ปทุมธานี'!J246+'ประจวบคีรีขันธ์'!J246+'ปราจีนบุรี'!J246+'พระนครศรีอยุธยา'!J246+'เพชรบุรี'!J246+'ระยอง'!J246+'ราชบุรี'!J246+'ลพบุรี'!J246+'สระแก้ว'!J246+'สระบุรี'!J246+'สิงห์บุรี'!J246+'สุพรรณบุรี'!J246+'อ่างทอง'!J246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'กาญจนบุรี'!I249+'จันทบุรี'!I249+'ฉะเชิงเทรา'!I249+'ชลบุรี'!I249+'ชัยนาท'!I249+'ตราด'!I249+'นครนายก'!I249+'นครปฐม'!I249+'ปทุมธานี'!I249+'ประจวบคีรีขันธ์'!I249+'ปราจีนบุรี'!I249+'พระนครศรีอยุธยา'!I249+'เพชรบุรี'!I249+'ระยอง'!I249+'ราชบุรี'!I249+'ลพบุรี'!I249+'สระแก้ว'!I249+'สระบุรี'!I249+'สิงห์บุรี'!I249+'สุพรรณบุรี'!I249+'อ่างทอง'!I249</f>
        <v>195</v>
      </c>
      <c r="J249" s="349">
        <f>'กาญจนบุรี'!J249+'จันทบุรี'!J249+'ฉะเชิงเทรา'!J249+'ชลบุรี'!J249+'ชัยนาท'!J249+'ตราด'!J249+'นครนายก'!J249+'นครปฐม'!J249+'ปทุมธานี'!J249+'ประจวบคีรีขันธ์'!J249+'ปราจีนบุรี'!J249+'พระนครศรีอยุธยา'!J249+'เพชรบุรี'!J249+'ระยอง'!J249+'ราชบุรี'!J249+'ลพบุรี'!J249+'สระแก้ว'!J249+'สระบุรี'!J249+'สิงห์บุรี'!J249+'สุพรรณบุรี'!J249+'อ่างทอง'!J249</f>
        <v>20</v>
      </c>
      <c r="K249" s="350">
        <f>IF(I249&gt;0,J249*100/I249,0)</f>
        <v>10.25641026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>'กาญจนบุรี'!L250+'จันทบุรี'!L250+'ฉะเชิงเทรา'!L250+'ชลบุรี'!L250+'ชัยนาท'!L250+'ตราด'!L250+'นครนายก'!L250+'นครปฐม'!L250+'ปทุมธานี'!L250+'ประจวบคีรีขันธ์'!L250+'ปราจีนบุรี'!L250+'พระนครศรีอยุธยา'!L250+'เพชรบุรี'!L250+'ระยอง'!L250+'ราชบุรี'!L250+'ลพบุรี'!L250+'สระแก้ว'!L250+'สระบุรี'!L250+'สิงห์บุรี'!L250+'สุพรรณบุรี'!L250+'อ่างทอง'!L250</f>
        <v>1135900</v>
      </c>
      <c r="M250" s="183">
        <f>'กาญจนบุรี'!M250+'จันทบุรี'!M250+'ฉะเชิงเทรา'!M250+'ชลบุรี'!M250+'ชัยนาท'!M250+'ตราด'!M250+'นครนายก'!M250+'นครปฐม'!M250+'ปทุมธานี'!M250+'ประจวบคีรีขันธ์'!M250+'ปราจีนบุรี'!M250+'พระนครศรีอยุธยา'!M250+'เพชรบุรี'!M250+'ระยอง'!M250+'ราชบุรี'!M250+'ลพบุรี'!M250+'สระแก้ว'!M250+'สระบุรี'!M250+'สิงห์บุรี'!M250+'สุพรรณบุรี'!M250+'อ่างทอง'!M250</f>
        <v>569500</v>
      </c>
      <c r="N250" s="183">
        <f>'กาญจนบุรี'!N250+'จันทบุรี'!N250+'ฉะเชิงเทรา'!N250+'ชลบุรี'!N250+'ชัยนาท'!N250+'ตราด'!N250+'นครนายก'!N250+'นครปฐม'!N250+'ปทุมธานี'!N250+'ประจวบคีรีขันธ์'!N250+'ปราจีนบุรี'!N250+'พระนครศรีอยุธยา'!N250+'เพชรบุรี'!N250+'ระยอง'!N250+'ราชบุรี'!N250+'ลพบุรี'!N250+'สระแก้ว'!N250+'สระบุรี'!N250+'สิงห์บุรี'!N250+'สุพรรณบุรี'!N250+'อ่างทอง'!N250</f>
        <v>126332</v>
      </c>
      <c r="O250" s="182">
        <f t="shared" ref="O250:O252" si="32">IF(L250&gt;0,N250*100/L250,0)</f>
        <v>11.12175368</v>
      </c>
      <c r="P250" s="182">
        <f t="shared" ref="P250:P252" si="33">IF(M250&gt;0,N250*100/M250,0)</f>
        <v>22.18296752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>'กาญจนบุรี'!L251+'จันทบุรี'!L251+'ฉะเชิงเทรา'!L251+'ชลบุรี'!L251+'ชัยนาท'!L251+'ตราด'!L251+'นครนายก'!L251+'นครปฐม'!L251+'ปทุมธานี'!L251+'ประจวบคีรีขันธ์'!L251+'ปราจีนบุรี'!L251+'พระนครศรีอยุธยา'!L251+'เพชรบุรี'!L251+'ระยอง'!L251+'ราชบุรี'!L251+'ลพบุรี'!L251+'สระแก้ว'!L251+'สระบุรี'!L251+'สิงห์บุรี'!L251+'สุพรรณบุรี'!L251+'อ่างทอง'!L251</f>
        <v>0</v>
      </c>
      <c r="M251" s="188">
        <f>'กาญจนบุรี'!M251+'จันทบุรี'!M251+'ฉะเชิงเทรา'!M251+'ชลบุรี'!M251+'ชัยนาท'!M251+'ตราด'!M251+'นครนายก'!M251+'นครปฐม'!M251+'ปทุมธานี'!M251+'ประจวบคีรีขันธ์'!M251+'ปราจีนบุรี'!M251+'พระนครศรีอยุธยา'!M251+'เพชรบุรี'!M251+'ระยอง'!M251+'ราชบุรี'!M251+'ลพบุรี'!M251+'สระแก้ว'!M251+'สระบุรี'!M251+'สิงห์บุรี'!M251+'สุพรรณบุรี'!M251+'อ่างทอง'!M251</f>
        <v>0</v>
      </c>
      <c r="N251" s="188">
        <f>'กาญจนบุรี'!N251+'จันทบุรี'!N251+'ฉะเชิงเทรา'!N251+'ชลบุรี'!N251+'ชัยนาท'!N251+'ตราด'!N251+'นครนายก'!N251+'นครปฐม'!N251+'ปทุมธานี'!N251+'ประจวบคีรีขันธ์'!N251+'ปราจีนบุรี'!N251+'พระนครศรีอยุธยา'!N251+'เพชรบุรี'!N251+'ระยอง'!N251+'ราชบุรี'!N251+'ลพบุรี'!N251+'สระแก้ว'!N251+'สระบุรี'!N251+'สิงห์บุรี'!N251+'สุพรรณบุรี'!N251+'อ่างทอง'!N251</f>
        <v>0</v>
      </c>
      <c r="O251" s="187">
        <f t="shared" si="32"/>
        <v>0</v>
      </c>
      <c r="P251" s="187">
        <f t="shared" si="33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>'กาญจนบุรี'!L252+'จันทบุรี'!L252+'ฉะเชิงเทรา'!L252+'ชลบุรี'!L252+'ชัยนาท'!L252+'ตราด'!L252+'นครนายก'!L252+'นครปฐม'!L252+'ปทุมธานี'!L252+'ประจวบคีรีขันธ์'!L252+'ปราจีนบุรี'!L252+'พระนครศรีอยุธยา'!L252+'เพชรบุรี'!L252+'ระยอง'!L252+'ราชบุรี'!L252+'ลพบุรี'!L252+'สระแก้ว'!L252+'สระบุรี'!L252+'สิงห์บุรี'!L252+'สุพรรณบุรี'!L252+'อ่างทอง'!L252</f>
        <v>1135900</v>
      </c>
      <c r="M252" s="188">
        <f>'กาญจนบุรี'!M252+'จันทบุรี'!M252+'ฉะเชิงเทรา'!M252+'ชลบุรี'!M252+'ชัยนาท'!M252+'ตราด'!M252+'นครนายก'!M252+'นครปฐม'!M252+'ปทุมธานี'!M252+'ประจวบคีรีขันธ์'!M252+'ปราจีนบุรี'!M252+'พระนครศรีอยุธยา'!M252+'เพชรบุรี'!M252+'ระยอง'!M252+'ราชบุรี'!M252+'ลพบุรี'!M252+'สระแก้ว'!M252+'สระบุรี'!M252+'สิงห์บุรี'!M252+'สุพรรณบุรี'!M252+'อ่างทอง'!M252</f>
        <v>569500</v>
      </c>
      <c r="N252" s="188">
        <f>'กาญจนบุรี'!N252+'จันทบุรี'!N252+'ฉะเชิงเทรา'!N252+'ชลบุรี'!N252+'ชัยนาท'!N252+'ตราด'!N252+'นครนายก'!N252+'นครปฐม'!N252+'ปทุมธานี'!N252+'ประจวบคีรีขันธ์'!N252+'ปราจีนบุรี'!N252+'พระนครศรีอยุธยา'!N252+'เพชรบุรี'!N252+'ระยอง'!N252+'ราชบุรี'!N252+'ลพบุรี'!N252+'สระแก้ว'!N252+'สระบุรี'!N252+'สิงห์บุรี'!N252+'สุพรรณบุรี'!N252+'อ่างทอง'!N252</f>
        <v>126332</v>
      </c>
      <c r="O252" s="187">
        <f t="shared" si="32"/>
        <v>11.12175368</v>
      </c>
      <c r="P252" s="187">
        <f t="shared" si="33"/>
        <v>22.18296752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f>'กาญจนบุรี'!L253+'จันทบุรี'!L253+'ฉะเชิงเทรา'!L253+'ชลบุรี'!L253+'ชัยนาท'!L253+'ตราด'!L253+'นครนายก'!L253+'นครปฐม'!L253+'ปทุมธานี'!L253+'ประจวบคีรีขันธ์'!L253+'ปราจีนบุรี'!L253+'พระนครศรีอยุธยา'!L253+'เพชรบุรี'!L253+'ระยอง'!L253+'ราชบุรี'!L253+'ลพบุรี'!L253+'สระแก้ว'!L253+'สระบุรี'!L253+'สิงห์บุรี'!L253+'สุพรรณบุรี'!L253+'อ่างทอง'!L253</f>
        <v>0</v>
      </c>
      <c r="M253" s="197">
        <f>'กาญจนบุรี'!M253+'จันทบุรี'!M253+'ฉะเชิงเทรา'!M253+'ชลบุรี'!M253+'ชัยนาท'!M253+'ตราด'!M253+'นครนายก'!M253+'นครปฐม'!M253+'ปทุมธานี'!M253+'ประจวบคีรีขันธ์'!M253+'ปราจีนบุรี'!M253+'พระนครศรีอยุธยา'!M253+'เพชรบุรี'!M253+'ระยอง'!M253+'ราชบุรี'!M253+'ลพบุรี'!M253+'สระแก้ว'!M253+'สระบุรี'!M253+'สิงห์บุรี'!M253+'สุพรรณบุรี'!M253+'อ่างทอง'!M253</f>
        <v>0</v>
      </c>
      <c r="N253" s="197">
        <f>'กาญจนบุรี'!N253+'จันทบุรี'!N253+'ฉะเชิงเทรา'!N253+'ชลบุรี'!N253+'ชัยนาท'!N253+'ตราด'!N253+'นครนายก'!N253+'นครปฐม'!N253+'ปทุมธานี'!N253+'ประจวบคีรีขันธ์'!N253+'ปราจีนบุรี'!N253+'พระนครศรีอยุธยา'!N253+'เพชรบุรี'!N253+'ระยอง'!N253+'ราชบุรี'!N253+'ลพบุรี'!N253+'สระแก้ว'!N253+'สระบุรี'!N253+'สิงห์บุรี'!N253+'สุพรรณบุรี'!N253+'อ่างทอง'!N253</f>
        <v>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'กาญจนบุรี'!L254+'จันทบุรี'!L254+'ฉะเชิงเทรา'!L254+'ชลบุรี'!L254+'ชัยนาท'!L254+'ตราด'!L254+'นครนายก'!L254+'นครปฐม'!L254+'ปทุมธานี'!L254+'ประจวบคีรีขันธ์'!L254+'ปราจีนบุรี'!L254+'พระนครศรีอยุธยา'!L254+'เพชรบุรี'!L254+'ระยอง'!L254+'ราชบุรี'!L254+'ลพบุรี'!L254+'สระแก้ว'!L254+'สระบุรี'!L254+'สิงห์บุรี'!L254+'สุพรรณบุรี'!L254+'อ่างทอง'!L254</f>
        <v>1135900</v>
      </c>
      <c r="M254" s="201">
        <f>'กาญจนบุรี'!M254+'จันทบุรี'!M254+'ฉะเชิงเทรา'!M254+'ชลบุรี'!M254+'ชัยนาท'!M254+'ตราด'!M254+'นครนายก'!M254+'นครปฐม'!M254+'ปทุมธานี'!M254+'ประจวบคีรีขันธ์'!M254+'ปราจีนบุรี'!M254+'พระนครศรีอยุธยา'!M254+'เพชรบุรี'!M254+'ระยอง'!M254+'ราชบุรี'!M254+'ลพบุรี'!M254+'สระแก้ว'!M254+'สระบุรี'!M254+'สิงห์บุรี'!M254+'สุพรรณบุรี'!M254+'อ่างทอง'!M254</f>
        <v>569500</v>
      </c>
      <c r="N254" s="202">
        <f>'กาญจนบุรี'!N254+'จันทบุรี'!N254+'ฉะเชิงเทรา'!N254+'ชลบุรี'!N254+'ชัยนาท'!N254+'ตราด'!N254+'นครนายก'!N254+'นครปฐม'!N254+'ปทุมธานี'!N254+'ประจวบคีรีขันธ์'!N254+'ปราจีนบุรี'!N254+'พระนครศรีอยุธยา'!N254+'เพชรบุรี'!N254+'ระยอง'!N254+'ราชบุรี'!N254+'ลพบุรี'!N254+'สระแก้ว'!N254+'สระบุรี'!N254+'สิงห์บุรี'!N254+'สุพรรณบุรี'!N254+'อ่างทอง'!N254</f>
        <v>126332</v>
      </c>
      <c r="O254" s="203">
        <f>IF(L254&gt;0,N254*100/L254,0)</f>
        <v>11.12175368</v>
      </c>
      <c r="P254" s="203">
        <f>IF(M254&gt;0,N254*100/M254,0)</f>
        <v>22.18296752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'กาญจนบุรี'!L255+'จันทบุรี'!L255+'ฉะเชิงเทรา'!L255+'ชลบุรี'!L255+'ชัยนาท'!L255+'ตราด'!L255+'นครนายก'!L255+'นครปฐม'!L255+'ปทุมธานี'!L255+'ประจวบคีรีขันธ์'!L255+'ปราจีนบุรี'!L255+'พระนครศรีอยุธยา'!L255+'เพชรบุรี'!L255+'ระยอง'!L255+'ราชบุรี'!L255+'ลพบุรี'!L255+'สระแก้ว'!L255+'สระบุรี'!L255+'สิงห์บุรี'!L255+'สุพรรณบุรี'!L255+'อ่างทอง'!L255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'กาญจนบุรี'!L256+'จันทบุรี'!L256+'ฉะเชิงเทรา'!L256+'ชลบุรี'!L256+'ชัยนาท'!L256+'ตราด'!L256+'นครนายก'!L256+'นครปฐม'!L256+'ปทุมธานี'!L256+'ประจวบคีรีขันธ์'!L256+'ปราจีนบุรี'!L256+'พระนครศรีอยุธยา'!L256+'เพชรบุรี'!L256+'ระยอง'!L256+'ราชบุรี'!L256+'ลพบุรี'!L256+'สระแก้ว'!L256+'สระบุรี'!L256+'สิงห์บุรี'!L256+'สุพรรณบุรี'!L256+'อ่างทอง'!L256</f>
        <v>1135900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f>'กาญจนบุรี'!L257+'จันทบุรี'!L257+'ฉะเชิงเทรา'!L257+'ชลบุรี'!L257+'ชัยนาท'!L257+'ตราด'!L257+'นครนายก'!L257+'นครปฐม'!L257+'ปทุมธานี'!L257+'ประจวบคีรีขันธ์'!L257+'ปราจีนบุรี'!L257+'พระนครศรีอยุธยา'!L257+'เพชรบุรี'!L257+'ระยอง'!L257+'ราชบุรี'!L257+'ลพบุรี'!L257+'สระแก้ว'!L257+'สระบุรี'!L257+'สิงห์บุรี'!L257+'สุพรรณบุรี'!L257+'อ่างทอง'!L257</f>
        <v>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'กาญจนบุรี'!L258+'จันทบุรี'!L258+'ฉะเชิงเทรา'!L258+'ชลบุรี'!L258+'ชัยนาท'!L258+'ตราด'!L258+'นครนายก'!L258+'นครปฐม'!L258+'ปทุมธานี'!L258+'ประจวบคีรีขันธ์'!L258+'ปราจีนบุรี'!L258+'พระนครศรีอยุธยา'!L258+'เพชรบุรี'!L258+'ระยอง'!L258+'ราชบุรี'!L258+'ลพบุรี'!L258+'สระแก้ว'!L258+'สระบุรี'!L258+'สิงห์บุรี'!L258+'สุพรรณบุรี'!L258+'อ่างทอง'!L258</f>
        <v>0</v>
      </c>
      <c r="M258" s="125"/>
      <c r="N258" s="115">
        <f>'กาญจนบุรี'!N258+'จันทบุรี'!N258+'ฉะเชิงเทรา'!N258+'ชลบุรี'!N258+'ชัยนาท'!N258+'ตราด'!N258+'นครนายก'!N258+'นครปฐม'!N258+'ปทุมธานี'!N258+'ประจวบคีรีขันธ์'!N258+'ปราจีนบุรี'!N258+'พระนครศรีอยุธยา'!N258+'เพชรบุรี'!N258+'ระยอง'!N258+'ราชบุรี'!N258+'ลพบุรี'!N258+'สระแก้ว'!N258+'สระบุรี'!N258+'สิงห์บุรี'!N258+'สุพรรณบุรี'!N258+'อ่างทอง'!N258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'กาญจนบุรี'!J260+'จันทบุรี'!J260+'ฉะเชิงเทรา'!J260+'ชลบุรี'!J260+'ชัยนาท'!J260+'ตราด'!J260+'นครนายก'!J260+'นครปฐม'!J260+'ปทุมธานี'!J260+'ประจวบคีรีขันธ์'!J260+'ปราจีนบุรี'!J260+'พระนครศรีอยุธยา'!J260+'เพชรบุรี'!J260+'ระยอง'!J260+'ราชบุรี'!J260+'ลพบุรี'!J260+'สระแก้ว'!J260+'สระบุรี'!J260+'สิงห์บุรี'!J260+'สุพรรณบุรี'!J260+'อ่างทอง'!J260</f>
        <v>4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'กาญจนบุรี'!J261+'จันทบุรี'!J261+'ฉะเชิงเทรา'!J261+'ชลบุรี'!J261+'ชัยนาท'!J261+'ตราด'!J261+'นครนายก'!J261+'นครปฐม'!J261+'ปทุมธานี'!J261+'ประจวบคีรีขันธ์'!J261+'ปราจีนบุรี'!J261+'พระนครศรีอยุธยา'!J261+'เพชรบุรี'!J261+'ระยอง'!J261+'ราชบุรี'!J261+'ลพบุรี'!J261+'สระแก้ว'!J261+'สระบุรี'!J261+'สิงห์บุรี'!J261+'สุพรรณบุรี'!J261+'อ่างทอง'!J261</f>
        <v>5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'กาญจนบุรี'!J262+'จันทบุรี'!J262+'ฉะเชิงเทรา'!J262+'ชลบุรี'!J262+'ชัยนาท'!J262+'ตราด'!J262+'นครนายก'!J262+'นครปฐม'!J262+'ปทุมธานี'!J262+'ประจวบคีรีขันธ์'!J262+'ปราจีนบุรี'!J262+'พระนครศรีอยุธยา'!J262+'เพชรบุรี'!J262+'ระยอง'!J262+'ราชบุรี'!J262+'ลพบุรี'!J262+'สระแก้ว'!J262+'สระบุรี'!J262+'สิงห์บุรี'!J262+'สุพรรณบุรี'!J262+'อ่างทอง'!J262</f>
        <v>5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'กาญจนบุรี'!J263+'จันทบุรี'!J263+'ฉะเชิงเทรา'!J263+'ชลบุรี'!J263+'ชัยนาท'!J263+'ตราด'!J263+'นครนายก'!J263+'นครปฐม'!J263+'ปทุมธานี'!J263+'ประจวบคีรีขันธ์'!J263+'ปราจีนบุรี'!J263+'พระนครศรีอยุธยา'!J263+'เพชรบุรี'!J263+'ระยอง'!J263+'ราชบุรี'!J263+'ลพบุรี'!J263+'สระแก้ว'!J263+'สระบุรี'!J263+'สิงห์บุรี'!J263+'สุพรรณบุรี'!J263+'อ่างทอง'!J263</f>
        <v>5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'กาญจนบุรี'!I264+'จันทบุรี'!I264+'ฉะเชิงเทรา'!I264+'ชลบุรี'!I264+'ชัยนาท'!I264+'ตราด'!I264+'นครนายก'!I264+'นครปฐม'!I264+'ปทุมธานี'!I264+'ประจวบคีรีขันธ์'!I264+'ปราจีนบุรี'!I264+'พระนครศรีอยุธยา'!I264+'เพชรบุรี'!I264+'ระยอง'!I264+'ราชบุรี'!I264+'ลพบุรี'!I264+'สระแก้ว'!I264+'สระบุรี'!I264+'สิงห์บุรี'!I264+'สุพรรณบุรี'!I264+'อ่างทอง'!I264</f>
        <v>9</v>
      </c>
      <c r="J264" s="223">
        <f>'กาญจนบุรี'!J264+'จันทบุรี'!J264+'ฉะเชิงเทรา'!J264+'ชลบุรี'!J264+'ชัยนาท'!J264+'ตราด'!J264+'นครนายก'!J264+'นครปฐม'!J264+'ปทุมธานี'!J264+'ประจวบคีรีขันธ์'!J264+'ปราจีนบุรี'!J264+'พระนครศรีอยุธยา'!J264+'เพชรบุรี'!J264+'ระยอง'!J264+'ราชบุรี'!J264+'ลพบุรี'!J264+'สระแก้ว'!J264+'สระบุรี'!J264+'สิงห์บุรี'!J264+'สุพรรณบุรี'!J264+'อ่างทอง'!J264</f>
        <v>1</v>
      </c>
      <c r="K264" s="196">
        <f t="shared" ref="K264:K267" si="34">IF(I264&gt;0,J264*100/I264,0)</f>
        <v>11.11111111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'กาญจนบุรี'!I265+'จันทบุรี'!I265+'ฉะเชิงเทรา'!I265+'ชลบุรี'!I265+'ชัยนาท'!I265+'ตราด'!I265+'นครนายก'!I265+'นครปฐม'!I265+'ปทุมธานี'!I265+'ประจวบคีรีขันธ์'!I265+'ปราจีนบุรี'!I265+'พระนครศรีอยุธยา'!I265+'เพชรบุรี'!I265+'ระยอง'!I265+'ราชบุรี'!I265+'ลพบุรี'!I265+'สระแก้ว'!I265+'สระบุรี'!I265+'สิงห์บุรี'!I265+'สุพรรณบุรี'!I265+'อ่างทอง'!I265</f>
        <v>195</v>
      </c>
      <c r="J265" s="223">
        <f>'กาญจนบุรี'!J265+'จันทบุรี'!J265+'ฉะเชิงเทรา'!J265+'ชลบุรี'!J265+'ชัยนาท'!J265+'ตราด'!J265+'นครนายก'!J265+'นครปฐม'!J265+'ปทุมธานี'!J265+'ประจวบคีรีขันธ์'!J265+'ปราจีนบุรี'!J265+'พระนครศรีอยุธยา'!J265+'เพชรบุรี'!J265+'ระยอง'!J265+'ราชบุรี'!J265+'ลพบุรี'!J265+'สระแก้ว'!J265+'สระบุรี'!J265+'สิงห์บุรี'!J265+'สุพรรณบุรี'!J265+'อ่างทอง'!J265</f>
        <v>20</v>
      </c>
      <c r="K265" s="196">
        <f t="shared" si="34"/>
        <v>10.25641026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'กาญจนบุรี'!I266+'จันทบุรี'!I266+'ฉะเชิงเทรา'!I266+'ชลบุรี'!I266+'ชัยนาท'!I266+'ตราด'!I266+'นครนายก'!I266+'นครปฐม'!I266+'ปทุมธานี'!I266+'ประจวบคีรีขันธ์'!I266+'ปราจีนบุรี'!I266+'พระนครศรีอยุธยา'!I266+'เพชรบุรี'!I266+'ระยอง'!I266+'ราชบุรี'!I266+'ลพบุรี'!I266+'สระแก้ว'!I266+'สระบุรี'!I266+'สิงห์บุรี'!I266+'สุพรรณบุรี'!I266+'อ่างทอง'!I266</f>
        <v>195</v>
      </c>
      <c r="J266" s="223">
        <f>'กาญจนบุรี'!J266+'จันทบุรี'!J266+'ฉะเชิงเทรา'!J266+'ชลบุรี'!J266+'ชัยนาท'!J266+'ตราด'!J266+'นครนายก'!J266+'นครปฐม'!J266+'ปทุมธานี'!J266+'ประจวบคีรีขันธ์'!J266+'ปราจีนบุรี'!J266+'พระนครศรีอยุธยา'!J266+'เพชรบุรี'!J266+'ระยอง'!J266+'ราชบุรี'!J266+'ลพบุรี'!J266+'สระแก้ว'!J266+'สระบุรี'!J266+'สิงห์บุรี'!J266+'สุพรรณบุรี'!J266+'อ่างทอง'!J266</f>
        <v>0</v>
      </c>
      <c r="K266" s="196">
        <f t="shared" si="34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'กาญจนบุรี'!I267+'จันทบุรี'!I267+'ฉะเชิงเทรา'!I267+'ชลบุรี'!I267+'ชัยนาท'!I267+'ตราด'!I267+'นครนายก'!I267+'นครปฐม'!I267+'ปทุมธานี'!I267+'ประจวบคีรีขันธ์'!I267+'ปราจีนบุรี'!I267+'พระนครศรีอยุธยา'!I267+'เพชรบุรี'!I267+'ระยอง'!I267+'ราชบุรี'!I267+'ลพบุรี'!I267+'สระแก้ว'!I267+'สระบุรี'!I267+'สิงห์บุรี'!I267+'สุพรรณบุรี'!I267+'อ่างทอง'!I267</f>
        <v>9</v>
      </c>
      <c r="J267" s="223">
        <f>'กาญจนบุรี'!J267+'จันทบุรี'!J267+'ฉะเชิงเทรา'!J267+'ชลบุรี'!J267+'ชัยนาท'!J267+'ตราด'!J267+'นครนายก'!J267+'นครปฐม'!J267+'ปทุมธานี'!J267+'ประจวบคีรีขันธ์'!J267+'ปราจีนบุรี'!J267+'พระนครศรีอยุธยา'!J267+'เพชรบุรี'!J267+'ระยอง'!J267+'ราชบุรี'!J267+'ลพบุรี'!J267+'สระแก้ว'!J267+'สระบุรี'!J267+'สิงห์บุรี'!J267+'สุพรรณบุรี'!J267+'อ่างทอง'!J267</f>
        <v>1</v>
      </c>
      <c r="K267" s="196">
        <f t="shared" si="34"/>
        <v>11.11111111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'กาญจนบุรี'!J268+'จันทบุรี'!J268+'ฉะเชิงเทรา'!J268+'ชลบุรี'!J268+'ชัยนาท'!J268+'ตราด'!J268+'นครนายก'!J268+'นครปฐม'!J268+'ปทุมธานี'!J268+'ประจวบคีรีขันธ์'!J268+'ปราจีนบุรี'!J268+'พระนครศรีอยุธยา'!J268+'เพชรบุรี'!J268+'ระยอง'!J268+'ราชบุรี'!J268+'ลพบุรี'!J268+'สระแก้ว'!J268+'สระบุรี'!J268+'สิงห์บุรี'!J268+'สุพรรณบุรี'!J268+'อ่างทอง'!J268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'กาญจนบุรี'!J269+'จันทบุรี'!J269+'ฉะเชิงเทรา'!J269+'ชลบุรี'!J269+'ชัยนาท'!J269+'ตราด'!J269+'นครนายก'!J269+'นครปฐม'!J269+'ปทุมธานี'!J269+'ประจวบคีรีขันธ์'!J269+'ปราจีนบุรี'!J269+'พระนครศรีอยุธยา'!J269+'เพชรบุรี'!J269+'ระยอง'!J269+'ราชบุรี'!J269+'ลพบุรี'!J269+'สระแก้ว'!J269+'สระบุรี'!J269+'สิงห์บุรี'!J269+'สุพรรณบุรี'!J269+'อ่างทอง'!J269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'กาญจนบุรี'!I270+'จันทบุรี'!I270+'ฉะเชิงเทรา'!I270+'ชลบุรี'!I270+'ชัยนาท'!I270+'ตราด'!I270+'นครนายก'!I270+'นครปฐม'!I270+'ปทุมธานี'!I270+'ประจวบคีรีขันธ์'!I270+'ปราจีนบุรี'!I270+'พระนครศรีอยุธยา'!I270+'เพชรบุรี'!I270+'ระยอง'!I270+'ราชบุรี'!I270+'ลพบุรี'!I270+'สระแก้ว'!I270+'สระบุรี'!I270+'สิงห์บุรี'!I270+'สุพรรณบุรี'!I270+'อ่างทอง'!I270</f>
        <v>205</v>
      </c>
      <c r="J270" s="349">
        <f>'กาญจนบุรี'!J270+'จันทบุรี'!J270+'ฉะเชิงเทรา'!J270+'ชลบุรี'!J270+'ชัยนาท'!J270+'ตราด'!J270+'นครนายก'!J270+'นครปฐม'!J270+'ปทุมธานี'!J270+'ประจวบคีรีขันธ์'!J270+'ปราจีนบุรี'!J270+'พระนครศรีอยุธยา'!J270+'เพชรบุรี'!J270+'ระยอง'!J270+'ราชบุรี'!J270+'ลพบุรี'!J270+'สระแก้ว'!J270+'สระบุรี'!J270+'สิงห์บุรี'!J270+'สุพรรณบุรี'!J270+'อ่างทอง'!J270</f>
        <v>70</v>
      </c>
      <c r="K270" s="350">
        <f>IF(I270&gt;0,J270*100/I270,0)</f>
        <v>34.14634146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>'กาญจนบุรี'!L271+'จันทบุรี'!L271+'ฉะเชิงเทรา'!L271+'ชลบุรี'!L271+'ชัยนาท'!L271+'ตราด'!L271+'นครนายก'!L271+'นครปฐม'!L271+'ปทุมธานี'!L271+'ประจวบคีรีขันธ์'!L271+'ปราจีนบุรี'!L271+'พระนครศรีอยุธยา'!L271+'เพชรบุรี'!L271+'ระยอง'!L271+'ราชบุรี'!L271+'ลพบุรี'!L271+'สระแก้ว'!L271+'สระบุรี'!L271+'สิงห์บุรี'!L271+'สุพรรณบุรี'!L271+'อ่างทอง'!L271</f>
        <v>1266900</v>
      </c>
      <c r="M271" s="183">
        <f>'กาญจนบุรี'!M271+'จันทบุรี'!M271+'ฉะเชิงเทรา'!M271+'ชลบุรี'!M271+'ชัยนาท'!M271+'ตราด'!M271+'นครนายก'!M271+'นครปฐม'!M271+'ปทุมธานี'!M271+'ประจวบคีรีขันธ์'!M271+'ปราจีนบุรี'!M271+'พระนครศรีอยุธยา'!M271+'เพชรบุรี'!M271+'ระยอง'!M271+'ราชบุรี'!M271+'ลพบุรี'!M271+'สระแก้ว'!M271+'สระบุรี'!M271+'สิงห์บุรี'!M271+'สุพรรณบุรี'!M271+'อ่างทอง'!M271</f>
        <v>699500</v>
      </c>
      <c r="N271" s="183">
        <f>'กาญจนบุรี'!N271+'จันทบุรี'!N271+'ฉะเชิงเทรา'!N271+'ชลบุรี'!N271+'ชัยนาท'!N271+'ตราด'!N271+'นครนายก'!N271+'นครปฐม'!N271+'ปทุมธานี'!N271+'ประจวบคีรีขันธ์'!N271+'ปราจีนบุรี'!N271+'พระนครศรีอยุธยา'!N271+'เพชรบุรี'!N271+'ระยอง'!N271+'ราชบุรี'!N271+'ลพบุรี'!N271+'สระแก้ว'!N271+'สระบุรี'!N271+'สิงห์บุรี'!N271+'สุพรรณบุรี'!N271+'อ่างทอง'!N271</f>
        <v>225905</v>
      </c>
      <c r="O271" s="182">
        <f t="shared" ref="O271:O273" si="35">IF(L271&gt;0,N271*100/L271,0)</f>
        <v>17.83132055</v>
      </c>
      <c r="P271" s="182">
        <f t="shared" ref="P271:P273" si="36">IF(M271&gt;0,N271*100/M271,0)</f>
        <v>32.29521086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>'กาญจนบุรี'!L272+'จันทบุรี'!L272+'ฉะเชิงเทรา'!L272+'ชลบุรี'!L272+'ชัยนาท'!L272+'ตราด'!L272+'นครนายก'!L272+'นครปฐม'!L272+'ปทุมธานี'!L272+'ประจวบคีรีขันธ์'!L272+'ปราจีนบุรี'!L272+'พระนครศรีอยุธยา'!L272+'เพชรบุรี'!L272+'ระยอง'!L272+'ราชบุรี'!L272+'ลพบุรี'!L272+'สระแก้ว'!L272+'สระบุรี'!L272+'สิงห์บุรี'!L272+'สุพรรณบุรี'!L272+'อ่างทอง'!L272</f>
        <v>0</v>
      </c>
      <c r="M272" s="188">
        <f>'กาญจนบุรี'!M272+'จันทบุรี'!M272+'ฉะเชิงเทรา'!M272+'ชลบุรี'!M272+'ชัยนาท'!M272+'ตราด'!M272+'นครนายก'!M272+'นครปฐม'!M272+'ปทุมธานี'!M272+'ประจวบคีรีขันธ์'!M272+'ปราจีนบุรี'!M272+'พระนครศรีอยุธยา'!M272+'เพชรบุรี'!M272+'ระยอง'!M272+'ราชบุรี'!M272+'ลพบุรี'!M272+'สระแก้ว'!M272+'สระบุรี'!M272+'สิงห์บุรี'!M272+'สุพรรณบุรี'!M272+'อ่างทอง'!M272</f>
        <v>0</v>
      </c>
      <c r="N272" s="188">
        <f>'กาญจนบุรี'!N272+'จันทบุรี'!N272+'ฉะเชิงเทรา'!N272+'ชลบุรี'!N272+'ชัยนาท'!N272+'ตราด'!N272+'นครนายก'!N272+'นครปฐม'!N272+'ปทุมธานี'!N272+'ประจวบคีรีขันธ์'!N272+'ปราจีนบุรี'!N272+'พระนครศรีอยุธยา'!N272+'เพชรบุรี'!N272+'ระยอง'!N272+'ราชบุรี'!N272+'ลพบุรี'!N272+'สระแก้ว'!N272+'สระบุรี'!N272+'สิงห์บุรี'!N272+'สุพรรณบุรี'!N272+'อ่างทอง'!N272</f>
        <v>0</v>
      </c>
      <c r="O272" s="187">
        <f t="shared" si="35"/>
        <v>0</v>
      </c>
      <c r="P272" s="187">
        <f t="shared" si="36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>'กาญจนบุรี'!L273+'จันทบุรี'!L273+'ฉะเชิงเทรา'!L273+'ชลบุรี'!L273+'ชัยนาท'!L273+'ตราด'!L273+'นครนายก'!L273+'นครปฐม'!L273+'ปทุมธานี'!L273+'ประจวบคีรีขันธ์'!L273+'ปราจีนบุรี'!L273+'พระนครศรีอยุธยา'!L273+'เพชรบุรี'!L273+'ระยอง'!L273+'ราชบุรี'!L273+'ลพบุรี'!L273+'สระแก้ว'!L273+'สระบุรี'!L273+'สิงห์บุรี'!L273+'สุพรรณบุรี'!L273+'อ่างทอง'!L273</f>
        <v>1266900</v>
      </c>
      <c r="M273" s="188">
        <f>'กาญจนบุรี'!M273+'จันทบุรี'!M273+'ฉะเชิงเทรา'!M273+'ชลบุรี'!M273+'ชัยนาท'!M273+'ตราด'!M273+'นครนายก'!M273+'นครปฐม'!M273+'ปทุมธานี'!M273+'ประจวบคีรีขันธ์'!M273+'ปราจีนบุรี'!M273+'พระนครศรีอยุธยา'!M273+'เพชรบุรี'!M273+'ระยอง'!M273+'ราชบุรี'!M273+'ลพบุรี'!M273+'สระแก้ว'!M273+'สระบุรี'!M273+'สิงห์บุรี'!M273+'สุพรรณบุรี'!M273+'อ่างทอง'!M273</f>
        <v>699500</v>
      </c>
      <c r="N273" s="188">
        <f>'กาญจนบุรี'!N273+'จันทบุรี'!N273+'ฉะเชิงเทรา'!N273+'ชลบุรี'!N273+'ชัยนาท'!N273+'ตราด'!N273+'นครนายก'!N273+'นครปฐม'!N273+'ปทุมธานี'!N273+'ประจวบคีรีขันธ์'!N273+'ปราจีนบุรี'!N273+'พระนครศรีอยุธยา'!N273+'เพชรบุรี'!N273+'ระยอง'!N273+'ราชบุรี'!N273+'ลพบุรี'!N273+'สระแก้ว'!N273+'สระบุรี'!N273+'สิงห์บุรี'!N273+'สุพรรณบุรี'!N273+'อ่างทอง'!N273</f>
        <v>225905</v>
      </c>
      <c r="O273" s="187">
        <f t="shared" si="35"/>
        <v>17.83132055</v>
      </c>
      <c r="P273" s="187">
        <f t="shared" si="36"/>
        <v>32.29521086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f>'กาญจนบุรี'!L274+'จันทบุรี'!L274+'ฉะเชิงเทรา'!L274+'ชลบุรี'!L274+'ชัยนาท'!L274+'ตราด'!L274+'นครนายก'!L274+'นครปฐม'!L274+'ปทุมธานี'!L274+'ประจวบคีรีขันธ์'!L274+'ปราจีนบุรี'!L274+'พระนครศรีอยุธยา'!L274+'เพชรบุรี'!L274+'ระยอง'!L274+'ราชบุรี'!L274+'ลพบุรี'!L274+'สระแก้ว'!L274+'สระบุรี'!L274+'สิงห์บุรี'!L274+'สุพรรณบุรี'!L274+'อ่างทอง'!L274</f>
        <v>0</v>
      </c>
      <c r="M274" s="197">
        <f>'กาญจนบุรี'!M274+'จันทบุรี'!M274+'ฉะเชิงเทรา'!M274+'ชลบุรี'!M274+'ชัยนาท'!M274+'ตราด'!M274+'นครนายก'!M274+'นครปฐม'!M274+'ปทุมธานี'!M274+'ประจวบคีรีขันธ์'!M274+'ปราจีนบุรี'!M274+'พระนครศรีอยุธยา'!M274+'เพชรบุรี'!M274+'ระยอง'!M274+'ราชบุรี'!M274+'ลพบุรี'!M274+'สระแก้ว'!M274+'สระบุรี'!M274+'สิงห์บุรี'!M274+'สุพรรณบุรี'!M274+'อ่างทอง'!M274</f>
        <v>0</v>
      </c>
      <c r="N274" s="197">
        <f>'กาญจนบุรี'!N274+'จันทบุรี'!N274+'ฉะเชิงเทรา'!N274+'ชลบุรี'!N274+'ชัยนาท'!N274+'ตราด'!N274+'นครนายก'!N274+'นครปฐม'!N274+'ปทุมธานี'!N274+'ประจวบคีรีขันธ์'!N274+'ปราจีนบุรี'!N274+'พระนครศรีอยุธยา'!N274+'เพชรบุรี'!N274+'ระยอง'!N274+'ราชบุรี'!N274+'ลพบุรี'!N274+'สระแก้ว'!N274+'สระบุรี'!N274+'สิงห์บุรี'!N274+'สุพรรณบุรี'!N274+'อ่างทอง'!N274</f>
        <v>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'กาญจนบุรี'!L275+'จันทบุรี'!L275+'ฉะเชิงเทรา'!L275+'ชลบุรี'!L275+'ชัยนาท'!L275+'ตราด'!L275+'นครนายก'!L275+'นครปฐม'!L275+'ปทุมธานี'!L275+'ประจวบคีรีขันธ์'!L275+'ปราจีนบุรี'!L275+'พระนครศรีอยุธยา'!L275+'เพชรบุรี'!L275+'ระยอง'!L275+'ราชบุรี'!L275+'ลพบุรี'!L275+'สระแก้ว'!L275+'สระบุรี'!L275+'สิงห์บุรี'!L275+'สุพรรณบุรี'!L275+'อ่างทอง'!L275</f>
        <v>1266900</v>
      </c>
      <c r="M275" s="201">
        <f>'กาญจนบุรี'!M275+'จันทบุรี'!M275+'ฉะเชิงเทรา'!M275+'ชลบุรี'!M275+'ชัยนาท'!M275+'ตราด'!M275+'นครนายก'!M275+'นครปฐม'!M275+'ปทุมธานี'!M275+'ประจวบคีรีขันธ์'!M275+'ปราจีนบุรี'!M275+'พระนครศรีอยุธยา'!M275+'เพชรบุรี'!M275+'ระยอง'!M275+'ราชบุรี'!M275+'ลพบุรี'!M275+'สระแก้ว'!M275+'สระบุรี'!M275+'สิงห์บุรี'!M275+'สุพรรณบุรี'!M275+'อ่างทอง'!M275</f>
        <v>699500</v>
      </c>
      <c r="N275" s="202">
        <f>'กาญจนบุรี'!N275+'จันทบุรี'!N275+'ฉะเชิงเทรา'!N275+'ชลบุรี'!N275+'ชัยนาท'!N275+'ตราด'!N275+'นครนายก'!N275+'นครปฐม'!N275+'ปทุมธานี'!N275+'ประจวบคีรีขันธ์'!N275+'ปราจีนบุรี'!N275+'พระนครศรีอยุธยา'!N275+'เพชรบุรี'!N275+'ระยอง'!N275+'ราชบุรี'!N275+'ลพบุรี'!N275+'สระแก้ว'!N275+'สระบุรี'!N275+'สิงห์บุรี'!N275+'สุพรรณบุรี'!N275+'อ่างทอง'!N275</f>
        <v>225905</v>
      </c>
      <c r="O275" s="203">
        <f>IF(L275&gt;0,N275*100/L275,0)</f>
        <v>17.83132055</v>
      </c>
      <c r="P275" s="203">
        <f>IF(M275&gt;0,N275*100/M275,0)</f>
        <v>32.29521086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'กาญจนบุรี'!L276+'จันทบุรี'!L276+'ฉะเชิงเทรา'!L276+'ชลบุรี'!L276+'ชัยนาท'!L276+'ตราด'!L276+'นครนายก'!L276+'นครปฐม'!L276+'ปทุมธานี'!L276+'ประจวบคีรีขันธ์'!L276+'ปราจีนบุรี'!L276+'พระนครศรีอยุธยา'!L276+'เพชรบุรี'!L276+'ระยอง'!L276+'ราชบุรี'!L276+'ลพบุรี'!L276+'สระแก้ว'!L276+'สระบุรี'!L276+'สิงห์บุรี'!L276+'สุพรรณบุรี'!L276+'อ่างทอง'!L276</f>
        <v>132000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'กาญจนบุรี'!L277+'จันทบุรี'!L277+'ฉะเชิงเทรา'!L277+'ชลบุรี'!L277+'ชัยนาท'!L277+'ตราด'!L277+'นครนายก'!L277+'นครปฐม'!L277+'ปทุมธานี'!L277+'ประจวบคีรีขันธ์'!L277+'ปราจีนบุรี'!L277+'พระนครศรีอยุธยา'!L277+'เพชรบุรี'!L277+'ระยอง'!L277+'ราชบุรี'!L277+'ลพบุรี'!L277+'สระแก้ว'!L277+'สระบุรี'!L277+'สิงห์บุรี'!L277+'สุพรรณบุรี'!L277+'อ่างทอง'!L277</f>
        <v>1134900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f>'กาญจนบุรี'!L278+'จันทบุรี'!L278+'ฉะเชิงเทรา'!L278+'ชลบุรี'!L278+'ชัยนาท'!L278+'ตราด'!L278+'นครนายก'!L278+'นครปฐม'!L278+'ปทุมธานี'!L278+'ประจวบคีรีขันธ์'!L278+'ปราจีนบุรี'!L278+'พระนครศรีอยุธยา'!L278+'เพชรบุรี'!L278+'ระยอง'!L278+'ราชบุรี'!L278+'ลพบุรี'!L278+'สระแก้ว'!L278+'สระบุรี'!L278+'สิงห์บุรี'!L278+'สุพรรณบุรี'!L278+'อ่างทอง'!L278</f>
        <v>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'กาญจนบุรี'!L279+'จันทบุรี'!L279+'ฉะเชิงเทรา'!L279+'ชลบุรี'!L279+'ชัยนาท'!L279+'ตราด'!L279+'นครนายก'!L279+'นครปฐม'!L279+'ปทุมธานี'!L279+'ประจวบคีรีขันธ์'!L279+'ปราจีนบุรี'!L279+'พระนครศรีอยุธยา'!L279+'เพชรบุรี'!L279+'ระยอง'!L279+'ราชบุรี'!L279+'ลพบุรี'!L279+'สระแก้ว'!L279+'สระบุรี'!L279+'สิงห์บุรี'!L279+'สุพรรณบุรี'!L279+'อ่างทอง'!L279</f>
        <v>0</v>
      </c>
      <c r="M279" s="125"/>
      <c r="N279" s="115">
        <f>'กาญจนบุรี'!N279+'จันทบุรี'!N279+'ฉะเชิงเทรา'!N279+'ชลบุรี'!N279+'ชัยนาท'!N279+'ตราด'!N279+'นครนายก'!N279+'นครปฐม'!N279+'ปทุมธานี'!N279+'ประจวบคีรีขันธ์'!N279+'ปราจีนบุรี'!N279+'พระนครศรีอยุธยา'!N279+'เพชรบุรี'!N279+'ระยอง'!N279+'ราชบุรี'!N279+'ลพบุรี'!N279+'สระแก้ว'!N279+'สระบุรี'!N279+'สิงห์บุรี'!N279+'สุพรรณบุรี'!N279+'อ่างทอง'!N279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'กาญจนบุรี'!J281+'จันทบุรี'!J281+'ฉะเชิงเทรา'!J281+'ชลบุรี'!J281+'ชัยนาท'!J281+'ตราด'!J281+'นครนายก'!J281+'นครปฐม'!J281+'ปทุมธานี'!J281+'ประจวบคีรีขันธ์'!J281+'ปราจีนบุรี'!J281+'พระนครศรีอยุธยา'!J281+'เพชรบุรี'!J281+'ระยอง'!J281+'ราชบุรี'!J281+'ลพบุรี'!J281+'สระแก้ว'!J281+'สระบุรี'!J281+'สิงห์บุรี'!J281+'สุพรรณบุรี'!J281+'อ่างทอง'!J281</f>
        <v>3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'กาญจนบุรี'!J282+'จันทบุรี'!J282+'ฉะเชิงเทรา'!J282+'ชลบุรี'!J282+'ชัยนาท'!J282+'ตราด'!J282+'นครนายก'!J282+'นครปฐม'!J282+'ปทุมธานี'!J282+'ประจวบคีรีขันธ์'!J282+'ปราจีนบุรี'!J282+'พระนครศรีอยุธยา'!J282+'เพชรบุรี'!J282+'ระยอง'!J282+'ราชบุรี'!J282+'ลพบุรี'!J282+'สระแก้ว'!J282+'สระบุรี'!J282+'สิงห์บุรี'!J282+'สุพรรณบุรี'!J282+'อ่างทอง'!J282</f>
        <v>10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'กาญจนบุรี'!J283+'จันทบุรี'!J283+'ฉะเชิงเทรา'!J283+'ชลบุรี'!J283+'ชัยนาท'!J283+'ตราด'!J283+'นครนายก'!J283+'นครปฐม'!J283+'ปทุมธานี'!J283+'ประจวบคีรีขันธ์'!J283+'ปราจีนบุรี'!J283+'พระนครศรีอยุธยา'!J283+'เพชรบุรี'!J283+'ระยอง'!J283+'ราชบุรี'!J283+'ลพบุรี'!J283+'สระแก้ว'!J283+'สระบุรี'!J283+'สิงห์บุรี'!J283+'สุพรรณบุรี'!J283+'อ่างทอง'!J283</f>
        <v>10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'กาญจนบุรี'!J284+'จันทบุรี'!J284+'ฉะเชิงเทรา'!J284+'ชลบุรี'!J284+'ชัยนาท'!J284+'ตราด'!J284+'นครนายก'!J284+'นครปฐม'!J284+'ปทุมธานี'!J284+'ประจวบคีรีขันธ์'!J284+'ปราจีนบุรี'!J284+'พระนครศรีอยุธยา'!J284+'เพชรบุรี'!J284+'ระยอง'!J284+'ราชบุรี'!J284+'ลพบุรี'!J284+'สระแก้ว'!J284+'สระบุรี'!J284+'สิงห์บุรี'!J284+'สุพรรณบุรี'!J284+'อ่างทอง'!J284</f>
        <v>7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'กาญจนบุรี'!I285+'จันทบุรี'!I285+'ฉะเชิงเทรา'!I285+'ชลบุรี'!I285+'ชัยนาท'!I285+'ตราด'!I285+'นครนายก'!I285+'นครปฐม'!I285+'ปทุมธานี'!I285+'ประจวบคีรีขันธ์'!I285+'ปราจีนบุรี'!I285+'พระนครศรีอยุธยา'!I285+'เพชรบุรี'!I285+'ระยอง'!I285+'ราชบุรี'!I285+'ลพบุรี'!I285+'สระแก้ว'!I285+'สระบุรี'!I285+'สิงห์บุรี'!I285+'สุพรรณบุรี'!I285+'อ่างทอง'!I285</f>
        <v>205</v>
      </c>
      <c r="J285" s="223">
        <f>'กาญจนบุรี'!J285+'จันทบุรี'!J285+'ฉะเชิงเทรา'!J285+'ชลบุรี'!J285+'ชัยนาท'!J285+'ตราด'!J285+'นครนายก'!J285+'นครปฐม'!J285+'ปทุมธานี'!J285+'ประจวบคีรีขันธ์'!J285+'ปราจีนบุรี'!J285+'พระนครศรีอยุธยา'!J285+'เพชรบุรี'!J285+'ระยอง'!J285+'ราชบุรี'!J285+'ลพบุรี'!J285+'สระแก้ว'!J285+'สระบุรี'!J285+'สิงห์บุรี'!J285+'สุพรรณบุรี'!J285+'อ่างทอง'!J285</f>
        <v>70</v>
      </c>
      <c r="K285" s="196">
        <f>IF(I285&gt;0,J285*100/I285,0)</f>
        <v>34.14634146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'กาญจนบุรี'!J286+'จันทบุรี'!J286+'ฉะเชิงเทรา'!J286+'ชลบุรี'!J286+'ชัยนาท'!J286+'ตราด'!J286+'นครนายก'!J286+'นครปฐม'!J286+'ปทุมธานี'!J286+'ประจวบคีรีขันธ์'!J286+'ปราจีนบุรี'!J286+'พระนครศรีอยุธยา'!J286+'เพชรบุรี'!J286+'ระยอง'!J286+'ราชบุรี'!J286+'ลพบุรี'!J286+'สระแก้ว'!J286+'สระบุรี'!J286+'สิงห์บุรี'!J286+'สุพรรณบุรี'!J286+'อ่างทอง'!J286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'กาญจนบุรี'!J287+'จันทบุรี'!J287+'ฉะเชิงเทรา'!J287+'ชลบุรี'!J287+'ชัยนาท'!J287+'ตราด'!J287+'นครนายก'!J287+'นครปฐม'!J287+'ปทุมธานี'!J287+'ประจวบคีรีขันธ์'!J287+'ปราจีนบุรี'!J287+'พระนครศรีอยุธยา'!J287+'เพชรบุรี'!J287+'ระยอง'!J287+'ราชบุรี'!J287+'ลพบุรี'!J287+'สระแก้ว'!J287+'สระบุรี'!J287+'สิงห์บุรี'!J287+'สุพรรณบุรี'!J287+'อ่างทอง'!J287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'กาญจนบุรี'!I289+'จันทบุรี'!I289+'ฉะเชิงเทรา'!I289+'ชลบุรี'!I289+'ชัยนาท'!I289+'ตราด'!I289+'นครนายก'!I289+'นครปฐม'!I289+'ปทุมธานี'!I289+'ประจวบคีรีขันธ์'!I289+'ปราจีนบุรี'!I289+'พระนครศรีอยุธยา'!I289+'เพชรบุรี'!I289+'ระยอง'!I289+'ราชบุรี'!I289+'ลพบุรี'!I289+'สระแก้ว'!I289+'สระบุรี'!I289+'สิงห์บุรี'!I289+'สุพรรณบุรี'!I289+'อ่างทอง'!I289</f>
        <v>100</v>
      </c>
      <c r="J289" s="349">
        <f>'กาญจนบุรี'!J289+'จันทบุรี'!J289+'ฉะเชิงเทรา'!J289+'ชลบุรี'!J289+'ชัยนาท'!J289+'ตราด'!J289+'นครนายก'!J289+'นครปฐม'!J289+'ปทุมธานี'!J289+'ประจวบคีรีขันธ์'!J289+'ปราจีนบุรี'!J289+'พระนครศรีอยุธยา'!J289+'เพชรบุรี'!J289+'ระยอง'!J289+'ราชบุรี'!J289+'ลพบุรี'!J289+'สระแก้ว'!J289+'สระบุรี'!J289+'สิงห์บุรี'!J289+'สุพรรณบุรี'!J289+'อ่างทอง'!J289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>'กาญจนบุรี'!L290+'จันทบุรี'!L290+'ฉะเชิงเทรา'!L290+'ชลบุรี'!L290+'ชัยนาท'!L290+'ตราด'!L290+'นครนายก'!L290+'นครปฐม'!L290+'ปทุมธานี'!L290+'ประจวบคีรีขันธ์'!L290+'ปราจีนบุรี'!L290+'พระนครศรีอยุธยา'!L290+'เพชรบุรี'!L290+'ระยอง'!L290+'ราชบุรี'!L290+'ลพบุรี'!L290+'สระแก้ว'!L290+'สระบุรี'!L290+'สิงห์บุรี'!L290+'สุพรรณบุรี'!L290+'อ่างทอง'!L290</f>
        <v>437820</v>
      </c>
      <c r="M290" s="183">
        <f>'กาญจนบุรี'!M290+'จันทบุรี'!M290+'ฉะเชิงเทรา'!M290+'ชลบุรี'!M290+'ชัยนาท'!M290+'ตราด'!M290+'นครนายก'!M290+'นครปฐม'!M290+'ปทุมธานี'!M290+'ประจวบคีรีขันธ์'!M290+'ปราจีนบุรี'!M290+'พระนครศรีอยุธยา'!M290+'เพชรบุรี'!M290+'ระยอง'!M290+'ราชบุรี'!M290+'ลพบุรี'!M290+'สระแก้ว'!M290+'สระบุรี'!M290+'สิงห์บุรี'!M290+'สุพรรณบุรี'!M290+'อ่างทอง'!M290</f>
        <v>149060</v>
      </c>
      <c r="N290" s="183">
        <f>'กาญจนบุรี'!N290+'จันทบุรี'!N290+'ฉะเชิงเทรา'!N290+'ชลบุรี'!N290+'ชัยนาท'!N290+'ตราด'!N290+'นครนายก'!N290+'นครปฐม'!N290+'ปทุมธานี'!N290+'ประจวบคีรีขันธ์'!N290+'ปราจีนบุรี'!N290+'พระนครศรีอยุธยา'!N290+'เพชรบุรี'!N290+'ระยอง'!N290+'ราชบุรี'!N290+'ลพบุรี'!N290+'สระแก้ว'!N290+'สระบุรี'!N290+'สิงห์บุรี'!N290+'สุพรรณบุรี'!N290+'อ่างทอง'!N290</f>
        <v>126050</v>
      </c>
      <c r="O290" s="182">
        <f t="shared" ref="O290:O292" si="37">IF(L290&gt;0,N290*100/L290,0)</f>
        <v>28.79037047</v>
      </c>
      <c r="P290" s="182">
        <f t="shared" ref="P290:P292" si="38">IF(M290&gt;0,N290*100/M290,0)</f>
        <v>84.56326312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>'กาญจนบุรี'!L291+'จันทบุรี'!L291+'ฉะเชิงเทรา'!L291+'ชลบุรี'!L291+'ชัยนาท'!L291+'ตราด'!L291+'นครนายก'!L291+'นครปฐม'!L291+'ปทุมธานี'!L291+'ประจวบคีรีขันธ์'!L291+'ปราจีนบุรี'!L291+'พระนครศรีอยุธยา'!L291+'เพชรบุรี'!L291+'ระยอง'!L291+'ราชบุรี'!L291+'ลพบุรี'!L291+'สระแก้ว'!L291+'สระบุรี'!L291+'สิงห์บุรี'!L291+'สุพรรณบุรี'!L291+'อ่างทอง'!L291</f>
        <v>0</v>
      </c>
      <c r="M291" s="188">
        <f>'กาญจนบุรี'!M291+'จันทบุรี'!M291+'ฉะเชิงเทรา'!M291+'ชลบุรี'!M291+'ชัยนาท'!M291+'ตราด'!M291+'นครนายก'!M291+'นครปฐม'!M291+'ปทุมธานี'!M291+'ประจวบคีรีขันธ์'!M291+'ปราจีนบุรี'!M291+'พระนครศรีอยุธยา'!M291+'เพชรบุรี'!M291+'ระยอง'!M291+'ราชบุรี'!M291+'ลพบุรี'!M291+'สระแก้ว'!M291+'สระบุรี'!M291+'สิงห์บุรี'!M291+'สุพรรณบุรี'!M291+'อ่างทอง'!M291</f>
        <v>0</v>
      </c>
      <c r="N291" s="188">
        <f>'กาญจนบุรี'!N291+'จันทบุรี'!N291+'ฉะเชิงเทรา'!N291+'ชลบุรี'!N291+'ชัยนาท'!N291+'ตราด'!N291+'นครนายก'!N291+'นครปฐม'!N291+'ปทุมธานี'!N291+'ประจวบคีรีขันธ์'!N291+'ปราจีนบุรี'!N291+'พระนครศรีอยุธยา'!N291+'เพชรบุรี'!N291+'ระยอง'!N291+'ราชบุรี'!N291+'ลพบุรี'!N291+'สระแก้ว'!N291+'สระบุรี'!N291+'สิงห์บุรี'!N291+'สุพรรณบุรี'!N291+'อ่างทอง'!N291</f>
        <v>0</v>
      </c>
      <c r="O291" s="187">
        <f t="shared" si="37"/>
        <v>0</v>
      </c>
      <c r="P291" s="187">
        <f t="shared" si="38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>'กาญจนบุรี'!L292+'จันทบุรี'!L292+'ฉะเชิงเทรา'!L292+'ชลบุรี'!L292+'ชัยนาท'!L292+'ตราด'!L292+'นครนายก'!L292+'นครปฐม'!L292+'ปทุมธานี'!L292+'ประจวบคีรีขันธ์'!L292+'ปราจีนบุรี'!L292+'พระนครศรีอยุธยา'!L292+'เพชรบุรี'!L292+'ระยอง'!L292+'ราชบุรี'!L292+'ลพบุรี'!L292+'สระแก้ว'!L292+'สระบุรี'!L292+'สิงห์บุรี'!L292+'สุพรรณบุรี'!L292+'อ่างทอง'!L292</f>
        <v>437820</v>
      </c>
      <c r="M292" s="188">
        <f>'กาญจนบุรี'!M292+'จันทบุรี'!M292+'ฉะเชิงเทรา'!M292+'ชลบุรี'!M292+'ชัยนาท'!M292+'ตราด'!M292+'นครนายก'!M292+'นครปฐม'!M292+'ปทุมธานี'!M292+'ประจวบคีรีขันธ์'!M292+'ปราจีนบุรี'!M292+'พระนครศรีอยุธยา'!M292+'เพชรบุรี'!M292+'ระยอง'!M292+'ราชบุรี'!M292+'ลพบุรี'!M292+'สระแก้ว'!M292+'สระบุรี'!M292+'สิงห์บุรี'!M292+'สุพรรณบุรี'!M292+'อ่างทอง'!M292</f>
        <v>149060</v>
      </c>
      <c r="N292" s="188">
        <f>'กาญจนบุรี'!N292+'จันทบุรี'!N292+'ฉะเชิงเทรา'!N292+'ชลบุรี'!N292+'ชัยนาท'!N292+'ตราด'!N292+'นครนายก'!N292+'นครปฐม'!N292+'ปทุมธานี'!N292+'ประจวบคีรีขันธ์'!N292+'ปราจีนบุรี'!N292+'พระนครศรีอยุธยา'!N292+'เพชรบุรี'!N292+'ระยอง'!N292+'ราชบุรี'!N292+'ลพบุรี'!N292+'สระแก้ว'!N292+'สระบุรี'!N292+'สิงห์บุรี'!N292+'สุพรรณบุรี'!N292+'อ่างทอง'!N292</f>
        <v>126050</v>
      </c>
      <c r="O292" s="187">
        <f t="shared" si="37"/>
        <v>28.79037047</v>
      </c>
      <c r="P292" s="187">
        <f t="shared" si="38"/>
        <v>84.56326312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f>'กาญจนบุรี'!L293+'จันทบุรี'!L293+'ฉะเชิงเทรา'!L293+'ชลบุรี'!L293+'ชัยนาท'!L293+'ตราด'!L293+'นครนายก'!L293+'นครปฐม'!L293+'ปทุมธานี'!L293+'ประจวบคีรีขันธ์'!L293+'ปราจีนบุรี'!L293+'พระนครศรีอยุธยา'!L293+'เพชรบุรี'!L293+'ระยอง'!L293+'ราชบุรี'!L293+'ลพบุรี'!L293+'สระแก้ว'!L293+'สระบุรี'!L293+'สิงห์บุรี'!L293+'สุพรรณบุรี'!L293+'อ่างทอง'!L293</f>
        <v>0</v>
      </c>
      <c r="M293" s="197">
        <f>'กาญจนบุรี'!M293+'จันทบุรี'!M293+'ฉะเชิงเทรา'!M293+'ชลบุรี'!M293+'ชัยนาท'!M293+'ตราด'!M293+'นครนายก'!M293+'นครปฐม'!M293+'ปทุมธานี'!M293+'ประจวบคีรีขันธ์'!M293+'ปราจีนบุรี'!M293+'พระนครศรีอยุธยา'!M293+'เพชรบุรี'!M293+'ระยอง'!M293+'ราชบุรี'!M293+'ลพบุรี'!M293+'สระแก้ว'!M293+'สระบุรี'!M293+'สิงห์บุรี'!M293+'สุพรรณบุรี'!M293+'อ่างทอง'!M293</f>
        <v>0</v>
      </c>
      <c r="N293" s="197">
        <f>'กาญจนบุรี'!N293+'จันทบุรี'!N293+'ฉะเชิงเทรา'!N293+'ชลบุรี'!N293+'ชัยนาท'!N293+'ตราด'!N293+'นครนายก'!N293+'นครปฐม'!N293+'ปทุมธานี'!N293+'ประจวบคีรีขันธ์'!N293+'ปราจีนบุรี'!N293+'พระนครศรีอยุธยา'!N293+'เพชรบุรี'!N293+'ระยอง'!N293+'ราชบุรี'!N293+'ลพบุรี'!N293+'สระแก้ว'!N293+'สระบุรี'!N293+'สิงห์บุรี'!N293+'สุพรรณบุรี'!N293+'อ่างทอง'!N293</f>
        <v>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'กาญจนบุรี'!L294+'จันทบุรี'!L294+'ฉะเชิงเทรา'!L294+'ชลบุรี'!L294+'ชัยนาท'!L294+'ตราด'!L294+'นครนายก'!L294+'นครปฐม'!L294+'ปทุมธานี'!L294+'ประจวบคีรีขันธ์'!L294+'ปราจีนบุรี'!L294+'พระนครศรีอยุธยา'!L294+'เพชรบุรี'!L294+'ระยอง'!L294+'ราชบุรี'!L294+'ลพบุรี'!L294+'สระแก้ว'!L294+'สระบุรี'!L294+'สิงห์บุรี'!L294+'สุพรรณบุรี'!L294+'อ่างทอง'!L294</f>
        <v>315320</v>
      </c>
      <c r="M294" s="201">
        <f>'กาญจนบุรี'!M294+'จันทบุรี'!M294+'ฉะเชิงเทรา'!M294+'ชลบุรี'!M294+'ชัยนาท'!M294+'ตราด'!M294+'นครนายก'!M294+'นครปฐม'!M294+'ปทุมธานี'!M294+'ประจวบคีรีขันธ์'!M294+'ปราจีนบุรี'!M294+'พระนครศรีอยุธยา'!M294+'เพชรบุรี'!M294+'ระยอง'!M294+'ราชบุรี'!M294+'ลพบุรี'!M294+'สระแก้ว'!M294+'สระบุรี'!M294+'สิงห์บุรี'!M294+'สุพรรณบุรี'!M294+'อ่างทอง'!M294</f>
        <v>149060</v>
      </c>
      <c r="N294" s="202">
        <f>'กาญจนบุรี'!N294+'จันทบุรี'!N294+'ฉะเชิงเทรา'!N294+'ชลบุรี'!N294+'ชัยนาท'!N294+'ตราด'!N294+'นครนายก'!N294+'นครปฐม'!N294+'ปทุมธานี'!N294+'ประจวบคีรีขันธ์'!N294+'ปราจีนบุรี'!N294+'พระนครศรีอยุธยา'!N294+'เพชรบุรี'!N294+'ระยอง'!N294+'ราชบุรี'!N294+'ลพบุรี'!N294+'สระแก้ว'!N294+'สระบุรี'!N294+'สิงห์บุรี'!N294+'สุพรรณบุรี'!N294+'อ่างทอง'!N294</f>
        <v>3550</v>
      </c>
      <c r="O294" s="203">
        <f>IF(L294&gt;0,N294*100/L294,0)</f>
        <v>1.125840416</v>
      </c>
      <c r="P294" s="203">
        <f>IF(M294&gt;0,N294*100/M294,0)</f>
        <v>2.381591306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'กาญจนบุรี'!L295+'จันทบุรี'!L295+'ฉะเชิงเทรา'!L295+'ชลบุรี'!L295+'ชัยนาท'!L295+'ตราด'!L295+'นครนายก'!L295+'นครปฐม'!L295+'ปทุมธานี'!L295+'ประจวบคีรีขันธ์'!L295+'ปราจีนบุรี'!L295+'พระนครศรีอยุธยา'!L295+'เพชรบุรี'!L295+'ระยอง'!L295+'ราชบุรี'!L295+'ลพบุรี'!L295+'สระแก้ว'!L295+'สระบุรี'!L295+'สิงห์บุรี'!L295+'สุพรรณบุรี'!L295+'อ่างทอง'!L295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'กาญจนบุรี'!L296+'จันทบุรี'!L296+'ฉะเชิงเทรา'!L296+'ชลบุรี'!L296+'ชัยนาท'!L296+'ตราด'!L296+'นครนายก'!L296+'นครปฐม'!L296+'ปทุมธานี'!L296+'ประจวบคีรีขันธ์'!L296+'ปราจีนบุรี'!L296+'พระนครศรีอยุธยา'!L296+'เพชรบุรี'!L296+'ระยอง'!L296+'ราชบุรี'!L296+'ลพบุรี'!L296+'สระแก้ว'!L296+'สระบุรี'!L296+'สิงห์บุรี'!L296+'สุพรรณบุรี'!L296+'อ่างทอง'!L296</f>
        <v>315320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f>'กาญจนบุรี'!L297+'จันทบุรี'!L297+'ฉะเชิงเทรา'!L297+'ชลบุรี'!L297+'ชัยนาท'!L297+'ตราด'!L297+'นครนายก'!L297+'นครปฐม'!L297+'ปทุมธานี'!L297+'ประจวบคีรีขันธ์'!L297+'ปราจีนบุรี'!L297+'พระนครศรีอยุธยา'!L297+'เพชรบุรี'!L297+'ระยอง'!L297+'ราชบุรี'!L297+'ลพบุรี'!L297+'สระแก้ว'!L297+'สระบุรี'!L297+'สิงห์บุรี'!L297+'สุพรรณบุรี'!L297+'อ่างทอง'!L297</f>
        <v>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'กาญจนบุรี'!L298+'จันทบุรี'!L298+'ฉะเชิงเทรา'!L298+'ชลบุรี'!L298+'ชัยนาท'!L298+'ตราด'!L298+'นครนายก'!L298+'นครปฐม'!L298+'ปทุมธานี'!L298+'ประจวบคีรีขันธ์'!L298+'ปราจีนบุรี'!L298+'พระนครศรีอยุธยา'!L298+'เพชรบุรี'!L298+'ระยอง'!L298+'ราชบุรี'!L298+'ลพบุรี'!L298+'สระแก้ว'!L298+'สระบุรี'!L298+'สิงห์บุรี'!L298+'สุพรรณบุรี'!L298+'อ่างทอง'!L298</f>
        <v>122500</v>
      </c>
      <c r="M298" s="125"/>
      <c r="N298" s="115">
        <f>'กาญจนบุรี'!N298+'จันทบุรี'!N298+'ฉะเชิงเทรา'!N298+'ชลบุรี'!N298+'ชัยนาท'!N298+'ตราด'!N298+'นครนายก'!N298+'นครปฐม'!N298+'ปทุมธานี'!N298+'ประจวบคีรีขันธ์'!N298+'ปราจีนบุรี'!N298+'พระนครศรีอยุธยา'!N298+'เพชรบุรี'!N298+'ระยอง'!N298+'ราชบุรี'!N298+'ลพบุรี'!N298+'สระแก้ว'!N298+'สระบุรี'!N298+'สิงห์บุรี'!N298+'สุพรรณบุรี'!N298+'อ่างทอง'!N298</f>
        <v>122500</v>
      </c>
      <c r="O298" s="125">
        <f>IF(L298&gt;0,N298*100/L298,0)</f>
        <v>100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'กาญจนบุรี'!J300+'จันทบุรี'!J300+'ฉะเชิงเทรา'!J300+'ชลบุรี'!J300+'ชัยนาท'!J300+'ตราด'!J300+'นครนายก'!J300+'นครปฐม'!J300+'ปทุมธานี'!J300+'ประจวบคีรีขันธ์'!J300+'ปราจีนบุรี'!J300+'พระนครศรีอยุธยา'!J300+'เพชรบุรี'!J300+'ระยอง'!J300+'ราชบุรี'!J300+'ลพบุรี'!J300+'สระแก้ว'!J300+'สระบุรี'!J300+'สิงห์บุรี'!J300+'สุพรรณบุรี'!J300+'อ่างทอง'!J300</f>
        <v>1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'กาญจนบุรี'!J301+'จันทบุรี'!J301+'ฉะเชิงเทรา'!J301+'ชลบุรี'!J301+'ชัยนาท'!J301+'ตราด'!J301+'นครนายก'!J301+'นครปฐม'!J301+'ปทุมธานี'!J301+'ประจวบคีรีขันธ์'!J301+'ปราจีนบุรี'!J301+'พระนครศรีอยุธยา'!J301+'เพชรบุรี'!J301+'ระยอง'!J301+'ราชบุรี'!J301+'ลพบุรี'!J301+'สระแก้ว'!J301+'สระบุรี'!J301+'สิงห์บุรี'!J301+'สุพรรณบุรี'!J301+'อ่างทอง'!J301</f>
        <v>2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'กาญจนบุรี'!J302+'จันทบุรี'!J302+'ฉะเชิงเทรา'!J302+'ชลบุรี'!J302+'ชัยนาท'!J302+'ตราด'!J302+'นครนายก'!J302+'นครปฐม'!J302+'ปทุมธานี'!J302+'ประจวบคีรีขันธ์'!J302+'ปราจีนบุรี'!J302+'พระนครศรีอยุธยา'!J302+'เพชรบุรี'!J302+'ระยอง'!J302+'ราชบุรี'!J302+'ลพบุรี'!J302+'สระแก้ว'!J302+'สระบุรี'!J302+'สิงห์บุรี'!J302+'สุพรรณบุรี'!J302+'อ่างทอง'!J302</f>
        <v>2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'กาญจนบุรี'!J303+'จันทบุรี'!J303+'ฉะเชิงเทรา'!J303+'ชลบุรี'!J303+'ชัยนาท'!J303+'ตราด'!J303+'นครนายก'!J303+'นครปฐม'!J303+'ปทุมธานี'!J303+'ประจวบคีรีขันธ์'!J303+'ปราจีนบุรี'!J303+'พระนครศรีอยุธยา'!J303+'เพชรบุรี'!J303+'ระยอง'!J303+'ราชบุรี'!J303+'ลพบุรี'!J303+'สระแก้ว'!J303+'สระบุรี'!J303+'สิงห์บุรี'!J303+'สุพรรณบุรี'!J303+'อ่างทอง'!J303</f>
        <v>2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'กาญจนบุรี'!I304+'จันทบุรี'!I304+'ฉะเชิงเทรา'!I304+'ชลบุรี'!I304+'ชัยนาท'!I304+'ตราด'!I304+'นครนายก'!I304+'นครปฐม'!I304+'ปทุมธานี'!I304+'ประจวบคีรีขันธ์'!I304+'ปราจีนบุรี'!I304+'พระนครศรีอยุธยา'!I304+'เพชรบุรี'!I304+'ระยอง'!I304+'ราชบุรี'!I304+'ลพบุรี'!I304+'สระแก้ว'!I304+'สระบุรี'!I304+'สิงห์บุรี'!I304+'สุพรรณบุรี'!I304+'อ่างทอง'!I304</f>
        <v>100</v>
      </c>
      <c r="J304" s="238">
        <f>'กาญจนบุรี'!J304+'จันทบุรี'!J304+'ฉะเชิงเทรา'!J304+'ชลบุรี'!J304+'ชัยนาท'!J304+'ตราด'!J304+'นครนายก'!J304+'นครปฐม'!J304+'ปทุมธานี'!J304+'ประจวบคีรีขันธ์'!J304+'ปราจีนบุรี'!J304+'พระนครศรีอยุธยา'!J304+'เพชรบุรี'!J304+'ระยอง'!J304+'ราชบุรี'!J304+'ลพบุรี'!J304+'สระแก้ว'!J304+'สระบุรี'!J304+'สิงห์บุรี'!J304+'สุพรรณบุรี'!J304+'อ่างทอง'!J304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'กาญจนบุรี'!I306+'จันทบุรี'!I306+'ฉะเชิงเทรา'!I306+'ชลบุรี'!I306+'ชัยนาท'!I306+'ตราด'!I306+'นครนายก'!I306+'นครปฐม'!I306+'ปทุมธานี'!I306+'ประจวบคีรีขันธ์'!I306+'ปราจีนบุรี'!I306+'พระนครศรีอยุธยา'!I306+'เพชรบุรี'!I306+'ระยอง'!I306+'ราชบุรี'!I306+'ลพบุรี'!I306+'สระแก้ว'!I306+'สระบุรี'!I306+'สิงห์บุรี'!I306+'สุพรรณบุรี'!I306+'อ่างทอง'!I306</f>
        <v>100</v>
      </c>
      <c r="J306" s="238">
        <f>'กาญจนบุรี'!J306+'จันทบุรี'!J306+'ฉะเชิงเทรา'!J306+'ชลบุรี'!J306+'ชัยนาท'!J306+'ตราด'!J306+'นครนายก'!J306+'นครปฐม'!J306+'ปทุมธานี'!J306+'ประจวบคีรีขันธ์'!J306+'ปราจีนบุรี'!J306+'พระนครศรีอยุธยา'!J306+'เพชรบุรี'!J306+'ระยอง'!J306+'ราชบุรี'!J306+'ลพบุรี'!J306+'สระแก้ว'!J306+'สระบุรี'!J306+'สิงห์บุรี'!J306+'สุพรรณบุรี'!J306+'อ่างทอง'!J306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IFERROR(__xludf.DUMMYFUNCTION("IMPORTRANGE(""https://docs.google.com/spreadsheets/d/1SX6NBoVAgQJ6U1MVXOaj8PK2l7WJ3RER9xtqwdhxkhw/edit?usp=sharing"",""กาญจนบุรี!J212"")"),0.0)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'กาญจนบุรี'!J308+'จันทบุรี'!J308+'ฉะเชิงเทรา'!J308+'ชลบุรี'!J308+'ชัยนาท'!J308+'ตราด'!J308+'นครนายก'!J308+'นครปฐม'!J308+'ปทุมธานี'!J308+'ประจวบคีรีขันธ์'!J308+'ปราจีนบุรี'!J308+'พระนครศรีอยุธยา'!J308+'เพชรบุรี'!J308+'ระยอง'!J308+'ราชบุรี'!J308+'ลพบุรี'!J308+'สระแก้ว'!J308+'สระบุรี'!J308+'สิงห์บุรี'!J308+'สุพรรณบุรี'!J308+'อ่างทอง'!J308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'กาญจนบุรี'!I309+'จันทบุรี'!I309+'ฉะเชิงเทรา'!I309+'ชลบุรี'!I309+'ชัยนาท'!I309+'ตราด'!I309+'นครนายก'!I309+'นครปฐม'!I309+'ปทุมธานี'!I309+'ประจวบคีรีขันธ์'!I309+'ปราจีนบุรี'!I309+'พระนครศรีอยุธยา'!I309+'เพชรบุรี'!I309+'ระยอง'!I309+'ราชบุรี'!I309+'ลพบุรี'!I309+'สระแก้ว'!I309+'สระบุรี'!I309+'สิงห์บุรี'!I309+'สุพรรณบุรี'!I309+'อ่างทอง'!I309</f>
        <v>15</v>
      </c>
      <c r="J309" s="366">
        <f>'กาญจนบุรี'!J309+'จันทบุรี'!J309+'ฉะเชิงเทรา'!J309+'ชลบุรี'!J309+'ชัยนาท'!J309+'ตราด'!J309+'นครนายก'!J309+'นครปฐม'!J309+'ปทุมธานี'!J309+'ประจวบคีรีขันธ์'!J309+'ปราจีนบุรี'!J309+'พระนครศรีอยุธยา'!J309+'เพชรบุรี'!J309+'ระยอง'!J309+'ราชบุรี'!J309+'ลพบุรี'!J309+'สระแก้ว'!J309+'สระบุรี'!J309+'สิงห์บุรี'!J309+'สุพรรณบุรี'!J309+'อ่างทอง'!J309</f>
        <v>4</v>
      </c>
      <c r="K309" s="367">
        <f>IF(I309&gt;0,J309*100/I309,0)</f>
        <v>26.66666667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>'กาญจนบุรี'!L310+'จันทบุรี'!L310+'ฉะเชิงเทรา'!L310+'ชลบุรี'!L310+'ชัยนาท'!L310+'ตราด'!L310+'นครนายก'!L310+'นครปฐม'!L310+'ปทุมธานี'!L310+'ประจวบคีรีขันธ์'!L310+'ปราจีนบุรี'!L310+'พระนครศรีอยุธยา'!L310+'เพชรบุรี'!L310+'ระยอง'!L310+'ราชบุรี'!L310+'ลพบุรี'!L310+'สระแก้ว'!L310+'สระบุรี'!L310+'สิงห์บุรี'!L310+'สุพรรณบุรี'!L310+'อ่างทอง'!L310</f>
        <v>1019800</v>
      </c>
      <c r="M310" s="183">
        <f>'กาญจนบุรี'!M310+'จันทบุรี'!M310+'ฉะเชิงเทรา'!M310+'ชลบุรี'!M310+'ชัยนาท'!M310+'ตราด'!M310+'นครนายก'!M310+'นครปฐม'!M310+'ปทุมธานี'!M310+'ประจวบคีรีขันธ์'!M310+'ปราจีนบุรี'!M310+'พระนครศรีอยุธยา'!M310+'เพชรบุรี'!M310+'ระยอง'!M310+'ราชบุรี'!M310+'ลพบุรี'!M310+'สระแก้ว'!M310+'สระบุรี'!M310+'สิงห์บุรี'!M310+'สุพรรณบุรี'!M310+'อ่างทอง'!M310</f>
        <v>509900</v>
      </c>
      <c r="N310" s="183">
        <f>'กาญจนบุรี'!N310+'จันทบุรี'!N310+'ฉะเชิงเทรา'!N310+'ชลบุรี'!N310+'ชัยนาท'!N310+'ตราด'!N310+'นครนายก'!N310+'นครปฐม'!N310+'ปทุมธานี'!N310+'ประจวบคีรีขันธ์'!N310+'ปราจีนบุรี'!N310+'พระนครศรีอยุธยา'!N310+'เพชรบุรี'!N310+'ระยอง'!N310+'ราชบุรี'!N310+'ลพบุรี'!N310+'สระแก้ว'!N310+'สระบุรี'!N310+'สิงห์บุรี'!N310+'สุพรรณบุรี'!N310+'อ่างทอง'!N310</f>
        <v>188655</v>
      </c>
      <c r="O310" s="182">
        <f t="shared" ref="O310:O312" si="39">IF(L310&gt;0,N310*100/L310,0)</f>
        <v>18.49921553</v>
      </c>
      <c r="P310" s="182">
        <f t="shared" ref="P310:P312" si="40">IF(M310&gt;0,N310*100/M310,0)</f>
        <v>36.99843106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>'กาญจนบุรี'!L311+'จันทบุรี'!L311+'ฉะเชิงเทรา'!L311+'ชลบุรี'!L311+'ชัยนาท'!L311+'ตราด'!L311+'นครนายก'!L311+'นครปฐม'!L311+'ปทุมธานี'!L311+'ประจวบคีรีขันธ์'!L311+'ปราจีนบุรี'!L311+'พระนครศรีอยุธยา'!L311+'เพชรบุรี'!L311+'ระยอง'!L311+'ราชบุรี'!L311+'ลพบุรี'!L311+'สระแก้ว'!L311+'สระบุรี'!L311+'สิงห์บุรี'!L311+'สุพรรณบุรี'!L311+'อ่างทอง'!L311</f>
        <v>0</v>
      </c>
      <c r="M311" s="188">
        <f>'กาญจนบุรี'!M311+'จันทบุรี'!M311+'ฉะเชิงเทรา'!M311+'ชลบุรี'!M311+'ชัยนาท'!M311+'ตราด'!M311+'นครนายก'!M311+'นครปฐม'!M311+'ปทุมธานี'!M311+'ประจวบคีรีขันธ์'!M311+'ปราจีนบุรี'!M311+'พระนครศรีอยุธยา'!M311+'เพชรบุรี'!M311+'ระยอง'!M311+'ราชบุรี'!M311+'ลพบุรี'!M311+'สระแก้ว'!M311+'สระบุรี'!M311+'สิงห์บุรี'!M311+'สุพรรณบุรี'!M311+'อ่างทอง'!M311</f>
        <v>0</v>
      </c>
      <c r="N311" s="188">
        <f>'กาญจนบุรี'!N311+'จันทบุรี'!N311+'ฉะเชิงเทรา'!N311+'ชลบุรี'!N311+'ชัยนาท'!N311+'ตราด'!N311+'นครนายก'!N311+'นครปฐม'!N311+'ปทุมธานี'!N311+'ประจวบคีรีขันธ์'!N311+'ปราจีนบุรี'!N311+'พระนครศรีอยุธยา'!N311+'เพชรบุรี'!N311+'ระยอง'!N311+'ราชบุรี'!N311+'ลพบุรี'!N311+'สระแก้ว'!N311+'สระบุรี'!N311+'สิงห์บุรี'!N311+'สุพรรณบุรี'!N311+'อ่างทอง'!N311</f>
        <v>0</v>
      </c>
      <c r="O311" s="187">
        <f t="shared" si="39"/>
        <v>0</v>
      </c>
      <c r="P311" s="187">
        <f t="shared" si="40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>'กาญจนบุรี'!L312+'จันทบุรี'!L312+'ฉะเชิงเทรา'!L312+'ชลบุรี'!L312+'ชัยนาท'!L312+'ตราด'!L312+'นครนายก'!L312+'นครปฐม'!L312+'ปทุมธานี'!L312+'ประจวบคีรีขันธ์'!L312+'ปราจีนบุรี'!L312+'พระนครศรีอยุธยา'!L312+'เพชรบุรี'!L312+'ระยอง'!L312+'ราชบุรี'!L312+'ลพบุรี'!L312+'สระแก้ว'!L312+'สระบุรี'!L312+'สิงห์บุรี'!L312+'สุพรรณบุรี'!L312+'อ่างทอง'!L312</f>
        <v>1019800</v>
      </c>
      <c r="M312" s="188">
        <f>'กาญจนบุรี'!M312+'จันทบุรี'!M312+'ฉะเชิงเทรา'!M312+'ชลบุรี'!M312+'ชัยนาท'!M312+'ตราด'!M312+'นครนายก'!M312+'นครปฐม'!M312+'ปทุมธานี'!M312+'ประจวบคีรีขันธ์'!M312+'ปราจีนบุรี'!M312+'พระนครศรีอยุธยา'!M312+'เพชรบุรี'!M312+'ระยอง'!M312+'ราชบุรี'!M312+'ลพบุรี'!M312+'สระแก้ว'!M312+'สระบุรี'!M312+'สิงห์บุรี'!M312+'สุพรรณบุรี'!M312+'อ่างทอง'!M312</f>
        <v>509900</v>
      </c>
      <c r="N312" s="188">
        <f>'กาญจนบุรี'!N312+'จันทบุรี'!N312+'ฉะเชิงเทรา'!N312+'ชลบุรี'!N312+'ชัยนาท'!N312+'ตราด'!N312+'นครนายก'!N312+'นครปฐม'!N312+'ปทุมธานี'!N312+'ประจวบคีรีขันธ์'!N312+'ปราจีนบุรี'!N312+'พระนครศรีอยุธยา'!N312+'เพชรบุรี'!N312+'ระยอง'!N312+'ราชบุรี'!N312+'ลพบุรี'!N312+'สระแก้ว'!N312+'สระบุรี'!N312+'สิงห์บุรี'!N312+'สุพรรณบุรี'!N312+'อ่างทอง'!N312</f>
        <v>188655</v>
      </c>
      <c r="O312" s="187">
        <f t="shared" si="39"/>
        <v>18.49921553</v>
      </c>
      <c r="P312" s="187">
        <f t="shared" si="40"/>
        <v>36.99843106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f>'กาญจนบุรี'!L313+'จันทบุรี'!L313+'ฉะเชิงเทรา'!L313+'ชลบุรี'!L313+'ชัยนาท'!L313+'ตราด'!L313+'นครนายก'!L313+'นครปฐม'!L313+'ปทุมธานี'!L313+'ประจวบคีรีขันธ์'!L313+'ปราจีนบุรี'!L313+'พระนครศรีอยุธยา'!L313+'เพชรบุรี'!L313+'ระยอง'!L313+'ราชบุรี'!L313+'ลพบุรี'!L313+'สระแก้ว'!L313+'สระบุรี'!L313+'สิงห์บุรี'!L313+'สุพรรณบุรี'!L313+'อ่างทอง'!L313</f>
        <v>0</v>
      </c>
      <c r="M313" s="197">
        <f>'กาญจนบุรี'!M313+'จันทบุรี'!M313+'ฉะเชิงเทรา'!M313+'ชลบุรี'!M313+'ชัยนาท'!M313+'ตราด'!M313+'นครนายก'!M313+'นครปฐม'!M313+'ปทุมธานี'!M313+'ประจวบคีรีขันธ์'!M313+'ปราจีนบุรี'!M313+'พระนครศรีอยุธยา'!M313+'เพชรบุรี'!M313+'ระยอง'!M313+'ราชบุรี'!M313+'ลพบุรี'!M313+'สระแก้ว'!M313+'สระบุรี'!M313+'สิงห์บุรี'!M313+'สุพรรณบุรี'!M313+'อ่างทอง'!M313</f>
        <v>0</v>
      </c>
      <c r="N313" s="197">
        <f>'กาญจนบุรี'!N313+'จันทบุรี'!N313+'ฉะเชิงเทรา'!N313+'ชลบุรี'!N313+'ชัยนาท'!N313+'ตราด'!N313+'นครนายก'!N313+'นครปฐม'!N313+'ปทุมธานี'!N313+'ประจวบคีรีขันธ์'!N313+'ปราจีนบุรี'!N313+'พระนครศรีอยุธยา'!N313+'เพชรบุรี'!N313+'ระยอง'!N313+'ราชบุรี'!N313+'ลพบุรี'!N313+'สระแก้ว'!N313+'สระบุรี'!N313+'สิงห์บุรี'!N313+'สุพรรณบุรี'!N313+'อ่างทอง'!N313</f>
        <v>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'กาญจนบุรี'!L314+'จันทบุรี'!L314+'ฉะเชิงเทรา'!L314+'ชลบุรี'!L314+'ชัยนาท'!L314+'ตราด'!L314+'นครนายก'!L314+'นครปฐม'!L314+'ปทุมธานี'!L314+'ประจวบคีรีขันธ์'!L314+'ปราจีนบุรี'!L314+'พระนครศรีอยุธยา'!L314+'เพชรบุรี'!L314+'ระยอง'!L314+'ราชบุรี'!L314+'ลพบุรี'!L314+'สระแก้ว'!L314+'สระบุรี'!L314+'สิงห์บุรี'!L314+'สุพรรณบุรี'!L314+'อ่างทอง'!L314</f>
        <v>1019800</v>
      </c>
      <c r="M314" s="201">
        <f>'กาญจนบุรี'!M314+'จันทบุรี'!M314+'ฉะเชิงเทรา'!M314+'ชลบุรี'!M314+'ชัยนาท'!M314+'ตราด'!M314+'นครนายก'!M314+'นครปฐม'!M314+'ปทุมธานี'!M314+'ประจวบคีรีขันธ์'!M314+'ปราจีนบุรี'!M314+'พระนครศรีอยุธยา'!M314+'เพชรบุรี'!M314+'ระยอง'!M314+'ราชบุรี'!M314+'ลพบุรี'!M314+'สระแก้ว'!M314+'สระบุรี'!M314+'สิงห์บุรี'!M314+'สุพรรณบุรี'!M314+'อ่างทอง'!M314</f>
        <v>509900</v>
      </c>
      <c r="N314" s="202">
        <f>'กาญจนบุรี'!N314+'จันทบุรี'!N314+'ฉะเชิงเทรา'!N314+'ชลบุรี'!N314+'ชัยนาท'!N314+'ตราด'!N314+'นครนายก'!N314+'นครปฐม'!N314+'ปทุมธานี'!N314+'ประจวบคีรีขันธ์'!N314+'ปราจีนบุรี'!N314+'พระนครศรีอยุธยา'!N314+'เพชรบุรี'!N314+'ระยอง'!N314+'ราชบุรี'!N314+'ลพบุรี'!N314+'สระแก้ว'!N314+'สระบุรี'!N314+'สิงห์บุรี'!N314+'สุพรรณบุรี'!N314+'อ่างทอง'!N314</f>
        <v>188655</v>
      </c>
      <c r="O314" s="203">
        <f>IF(L314&gt;0,N314*100/L314,0)</f>
        <v>18.49921553</v>
      </c>
      <c r="P314" s="203">
        <f>IF(M314&gt;0,N314*100/M314,0)</f>
        <v>36.99843106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'กาญจนบุรี'!L315+'จันทบุรี'!L315+'ฉะเชิงเทรา'!L315+'ชลบุรี'!L315+'ชัยนาท'!L315+'ตราด'!L315+'นครนายก'!L315+'นครปฐม'!L315+'ปทุมธานี'!L315+'ประจวบคีรีขันธ์'!L315+'ปราจีนบุรี'!L315+'พระนครศรีอยุธยา'!L315+'เพชรบุรี'!L315+'ระยอง'!L315+'ราชบุรี'!L315+'ลพบุรี'!L315+'สระแก้ว'!L315+'สระบุรี'!L315+'สิงห์บุรี'!L315+'สุพรรณบุรี'!L315+'อ่างทอง'!L315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'กาญจนบุรี'!L316+'จันทบุรี'!L316+'ฉะเชิงเทรา'!L316+'ชลบุรี'!L316+'ชัยนาท'!L316+'ตราด'!L316+'นครนายก'!L316+'นครปฐม'!L316+'ปทุมธานี'!L316+'ประจวบคีรีขันธ์'!L316+'ปราจีนบุรี'!L316+'พระนครศรีอยุธยา'!L316+'เพชรบุรี'!L316+'ระยอง'!L316+'ราชบุรี'!L316+'ลพบุรี'!L316+'สระแก้ว'!L316+'สระบุรี'!L316+'สิงห์บุรี'!L316+'สุพรรณบุรี'!L316+'อ่างทอง'!L316</f>
        <v>1019800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f>'กาญจนบุรี'!L317+'จันทบุรี'!L317+'ฉะเชิงเทรา'!L317+'ชลบุรี'!L317+'ชัยนาท'!L317+'ตราด'!L317+'นครนายก'!L317+'นครปฐม'!L317+'ปทุมธานี'!L317+'ประจวบคีรีขันธ์'!L317+'ปราจีนบุรี'!L317+'พระนครศรีอยุธยา'!L317+'เพชรบุรี'!L317+'ระยอง'!L317+'ราชบุรี'!L317+'ลพบุรี'!L317+'สระแก้ว'!L317+'สระบุรี'!L317+'สิงห์บุรี'!L317+'สุพรรณบุรี'!L317+'อ่างทอง'!L317</f>
        <v>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'กาญจนบุรี'!L318+'จันทบุรี'!L318+'ฉะเชิงเทรา'!L318+'ชลบุรี'!L318+'ชัยนาท'!L318+'ตราด'!L318+'นครนายก'!L318+'นครปฐม'!L318+'ปทุมธานี'!L318+'ประจวบคีรีขันธ์'!L318+'ปราจีนบุรี'!L318+'พระนครศรีอยุธยา'!L318+'เพชรบุรี'!L318+'ระยอง'!L318+'ราชบุรี'!L318+'ลพบุรี'!L318+'สระแก้ว'!L318+'สระบุรี'!L318+'สิงห์บุรี'!L318+'สุพรรณบุรี'!L318+'อ่างทอง'!L318</f>
        <v>0</v>
      </c>
      <c r="M318" s="125"/>
      <c r="N318" s="115">
        <f>'กาญจนบุรี'!N318+'จันทบุรี'!N318+'ฉะเชิงเทรา'!N318+'ชลบุรี'!N318+'ชัยนาท'!N318+'ตราด'!N318+'นครนายก'!N318+'นครปฐม'!N318+'ปทุมธานี'!N318+'ประจวบคีรีขันธ์'!N318+'ปราจีนบุรี'!N318+'พระนครศรีอยุธยา'!N318+'เพชรบุรี'!N318+'ระยอง'!N318+'ราชบุรี'!N318+'ลพบุรี'!N318+'สระแก้ว'!N318+'สระบุรี'!N318+'สิงห์บุรี'!N318+'สุพรรณบุรี'!N318+'อ่างทอง'!N318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'กาญจนบุรี'!J320+'จันทบุรี'!J320+'ฉะเชิงเทรา'!J320+'ชลบุรี'!J320+'ชัยนาท'!J320+'ตราด'!J320+'นครนายก'!J320+'นครปฐม'!J320+'ปทุมธานี'!J320+'ประจวบคีรีขันธ์'!J320+'ปราจีนบุรี'!J320+'พระนครศรีอยุธยา'!J320+'เพชรบุรี'!J320+'ระยอง'!J320+'ราชบุรี'!J320+'ลพบุรี'!J320+'สระแก้ว'!J320+'สระบุรี'!J320+'สิงห์บุรี'!J320+'สุพรรณบุรี'!J320+'อ่างทอง'!J320</f>
        <v>1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'กาญจนบุรี'!J321+'จันทบุรี'!J321+'ฉะเชิงเทรา'!J321+'ชลบุรี'!J321+'ชัยนาท'!J321+'ตราด'!J321+'นครนายก'!J321+'นครปฐม'!J321+'ปทุมธานี'!J321+'ประจวบคีรีขันธ์'!J321+'ปราจีนบุรี'!J321+'พระนครศรีอยุธยา'!J321+'เพชรบุรี'!J321+'ระยอง'!J321+'ราชบุรี'!J321+'ลพบุรี'!J321+'สระแก้ว'!J321+'สระบุรี'!J321+'สิงห์บุรี'!J321+'สุพรรณบุรี'!J321+'อ่างทอง'!J321</f>
        <v>2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'กาญจนบุรี'!J322+'จันทบุรี'!J322+'ฉะเชิงเทรา'!J322+'ชลบุรี'!J322+'ชัยนาท'!J322+'ตราด'!J322+'นครนายก'!J322+'นครปฐม'!J322+'ปทุมธานี'!J322+'ประจวบคีรีขันธ์'!J322+'ปราจีนบุรี'!J322+'พระนครศรีอยุธยา'!J322+'เพชรบุรี'!J322+'ระยอง'!J322+'ราชบุรี'!J322+'ลพบุรี'!J322+'สระแก้ว'!J322+'สระบุรี'!J322+'สิงห์บุรี'!J322+'สุพรรณบุรี'!J322+'อ่างทอง'!J322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'กาญจนบุรี'!J323+'จันทบุรี'!J323+'ฉะเชิงเทรา'!J323+'ชลบุรี'!J323+'ชัยนาท'!J323+'ตราด'!J323+'นครนายก'!J323+'นครปฐม'!J323+'ปทุมธานี'!J323+'ประจวบคีรีขันธ์'!J323+'ปราจีนบุรี'!J323+'พระนครศรีอยุธยา'!J323+'เพชรบุรี'!J323+'ระยอง'!J323+'ราชบุรี'!J323+'ลพบุรี'!J323+'สระแก้ว'!J323+'สระบุรี'!J323+'สิงห์บุรี'!J323+'สุพรรณบุรี'!J323+'อ่างทอง'!J323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'กาญจนบุรี'!I324+'จันทบุรี'!I324+'ฉะเชิงเทรา'!I324+'ชลบุรี'!I324+'ชัยนาท'!I324+'ตราด'!I324+'นครนายก'!I324+'นครปฐม'!I324+'ปทุมธานี'!I324+'ประจวบคีรีขันธ์'!I324+'ปราจีนบุรี'!I324+'พระนครศรีอยุธยา'!I324+'เพชรบุรี'!I324+'ระยอง'!I324+'ราชบุรี'!I324+'ลพบุรี'!I324+'สระแก้ว'!I324+'สระบุรี'!I324+'สิงห์บุรี'!I324+'สุพรรณบุรี'!I324+'อ่างทอง'!I324</f>
        <v>15</v>
      </c>
      <c r="J324" s="238">
        <f>'กาญจนบุรี'!J324+'จันทบุรี'!J324+'ฉะเชิงเทรา'!J324+'ชลบุรี'!J324+'ชัยนาท'!J324+'ตราด'!J324+'นครนายก'!J324+'นครปฐม'!J324+'ปทุมธานี'!J324+'ประจวบคีรีขันธ์'!J324+'ปราจีนบุรี'!J324+'พระนครศรีอยุธยา'!J324+'เพชรบุรี'!J324+'ระยอง'!J324+'ราชบุรี'!J324+'ลพบุรี'!J324+'สระแก้ว'!J324+'สระบุรี'!J324+'สิงห์บุรี'!J324+'สุพรรณบุรี'!J324+'อ่างทอง'!J324</f>
        <v>4</v>
      </c>
      <c r="K324" s="258">
        <f>IF(I324&gt;0,J324*100/I324,0)</f>
        <v>26.66666667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'กาญจนบุรี'!J325+'จันทบุรี'!J325+'ฉะเชิงเทรา'!J325+'ชลบุรี'!J325+'ชัยนาท'!J325+'ตราด'!J325+'นครนายก'!J325+'นครปฐม'!J325+'ปทุมธานี'!J325+'ประจวบคีรีขันธ์'!J325+'ปราจีนบุรี'!J325+'พระนครศรีอยุธยา'!J325+'เพชรบุรี'!J325+'ระยอง'!J325+'ราชบุรี'!J325+'ลพบุรี'!J325+'สระแก้ว'!J325+'สระบุรี'!J325+'สิงห์บุรี'!J325+'สุพรรณบุรี'!J325+'อ่างทอง'!J325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'กาญจนบุรี'!J326+'จันทบุรี'!J326+'ฉะเชิงเทรา'!J326+'ชลบุรี'!J326+'ชัยนาท'!J326+'ตราด'!J326+'นครนายก'!J326+'นครปฐม'!J326+'ปทุมธานี'!J326+'ประจวบคีรีขันธ์'!J326+'ปราจีนบุรี'!J326+'พระนครศรีอยุธยา'!J326+'เพชรบุรี'!J326+'ระยอง'!J326+'ราชบุรี'!J326+'ลพบุรี'!J326+'สระแก้ว'!J326+'สระบุรี'!J326+'สิงห์บุรี'!J326+'สุพรรณบุรี'!J326+'อ่างทอง'!J326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'กาญจนบุรี'!I328+'จันทบุรี'!I328+'ฉะเชิงเทรา'!I328+'ชลบุรี'!I328+'ชัยนาท'!I328+'ตราด'!I328+'นครนายก'!I328+'นครปฐม'!I328+'ปทุมธานี'!I328+'ประจวบคีรีขันธ์'!I328+'ปราจีนบุรี'!I328+'พระนครศรีอยุธยา'!I328+'เพชรบุรี'!I328+'ระยอง'!I328+'ราชบุรี'!I328+'ลพบุรี'!I328+'สระแก้ว'!I328+'สระบุรี'!I328+'สิงห์บุรี'!I328+'สุพรรณบุรี'!I328+'อ่างทอง'!I328</f>
        <v>2742</v>
      </c>
      <c r="J328" s="372">
        <f>'กาญจนบุรี'!J328+'จันทบุรี'!J328+'ฉะเชิงเทรา'!J328+'ชลบุรี'!J328+'ชัยนาท'!J328+'ตราด'!J328+'นครนายก'!J328+'นครปฐม'!J328+'ปทุมธานี'!J328+'ประจวบคีรีขันธ์'!J328+'ปราจีนบุรี'!J328+'พระนครศรีอยุธยา'!J328+'เพชรบุรี'!J328+'ระยอง'!J328+'ราชบุรี'!J328+'ลพบุรี'!J328+'สระแก้ว'!J328+'สระบุรี'!J328+'สิงห์บุรี'!J328+'สุพรรณบุรี'!J328+'อ่างทอง'!J328</f>
        <v>465</v>
      </c>
      <c r="K328" s="350">
        <f>IF(I328&gt;0,J328*100/I328,0)</f>
        <v>16.95842451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>'กาญจนบุรี'!L329+'จันทบุรี'!L329+'ฉะเชิงเทรา'!L329+'ชลบุรี'!L329+'ชัยนาท'!L329+'ตราด'!L329+'นครนายก'!L329+'นครปฐม'!L329+'ปทุมธานี'!L329+'ประจวบคีรีขันธ์'!L329+'ปราจีนบุรี'!L329+'พระนครศรีอยุธยา'!L329+'เพชรบุรี'!L329+'ระยอง'!L329+'ราชบุรี'!L329+'ลพบุรี'!L329+'สระแก้ว'!L329+'สระบุรี'!L329+'สิงห์บุรี'!L329+'สุพรรณบุรี'!L329+'อ่างทอง'!L329</f>
        <v>17406040</v>
      </c>
      <c r="M329" s="183">
        <f>'กาญจนบุรี'!M329+'จันทบุรี'!M329+'ฉะเชิงเทรา'!M329+'ชลบุรี'!M329+'ชัยนาท'!M329+'ตราด'!M329+'นครนายก'!M329+'นครปฐม'!M329+'ปทุมธานี'!M329+'ประจวบคีรีขันธ์'!M329+'ปราจีนบุรี'!M329+'พระนครศรีอยุธยา'!M329+'เพชรบุรี'!M329+'ระยอง'!M329+'ราชบุรี'!M329+'ลพบุรี'!M329+'สระแก้ว'!M329+'สระบุรี'!M329+'สิงห์บุรี'!M329+'สุพรรณบุรี'!M329+'อ่างทอง'!M329</f>
        <v>8576780</v>
      </c>
      <c r="N329" s="183">
        <f>'กาญจนบุรี'!N329+'จันทบุรี'!N329+'ฉะเชิงเทรา'!N329+'ชลบุรี'!N329+'ชัยนาท'!N329+'ตราด'!N329+'นครนายก'!N329+'นครปฐม'!N329+'ปทุมธานี'!N329+'ประจวบคีรีขันธ์'!N329+'ปราจีนบุรี'!N329+'พระนครศรีอยุธยา'!N329+'เพชรบุรี'!N329+'ระยอง'!N329+'ราชบุรี'!N329+'ลพบุรี'!N329+'สระแก้ว'!N329+'สระบุรี'!N329+'สิงห์บุรี'!N329+'สุพรรณบุรี'!N329+'อ่างทอง'!N329</f>
        <v>5900334</v>
      </c>
      <c r="O329" s="182">
        <f t="shared" ref="O329:O331" si="41">IF(L329&gt;0,N329*100/L329,0)</f>
        <v>33.89819856</v>
      </c>
      <c r="P329" s="182">
        <f t="shared" ref="P329:P331" si="42">IF(M329&gt;0,N329*100/M329,0)</f>
        <v>68.79427944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>'กาญจนบุรี'!L330+'จันทบุรี'!L330+'ฉะเชิงเทรา'!L330+'ชลบุรี'!L330+'ชัยนาท'!L330+'ตราด'!L330+'นครนายก'!L330+'นครปฐม'!L330+'ปทุมธานี'!L330+'ประจวบคีรีขันธ์'!L330+'ปราจีนบุรี'!L330+'พระนครศรีอยุธยา'!L330+'เพชรบุรี'!L330+'ระยอง'!L330+'ราชบุรี'!L330+'ลพบุรี'!L330+'สระแก้ว'!L330+'สระบุรี'!L330+'สิงห์บุรี'!L330+'สุพรรณบุรี'!L330+'อ่างทอง'!L330</f>
        <v>0</v>
      </c>
      <c r="M330" s="188">
        <f>'กาญจนบุรี'!M330+'จันทบุรี'!M330+'ฉะเชิงเทรา'!M330+'ชลบุรี'!M330+'ชัยนาท'!M330+'ตราด'!M330+'นครนายก'!M330+'นครปฐม'!M330+'ปทุมธานี'!M330+'ประจวบคีรีขันธ์'!M330+'ปราจีนบุรี'!M330+'พระนครศรีอยุธยา'!M330+'เพชรบุรี'!M330+'ระยอง'!M330+'ราชบุรี'!M330+'ลพบุรี'!M330+'สระแก้ว'!M330+'สระบุรี'!M330+'สิงห์บุรี'!M330+'สุพรรณบุรี'!M330+'อ่างทอง'!M330</f>
        <v>0</v>
      </c>
      <c r="N330" s="188">
        <f>'กาญจนบุรี'!N330+'จันทบุรี'!N330+'ฉะเชิงเทรา'!N330+'ชลบุรี'!N330+'ชัยนาท'!N330+'ตราด'!N330+'นครนายก'!N330+'นครปฐม'!N330+'ปทุมธานี'!N330+'ประจวบคีรีขันธ์'!N330+'ปราจีนบุรี'!N330+'พระนครศรีอยุธยา'!N330+'เพชรบุรี'!N330+'ระยอง'!N330+'ราชบุรี'!N330+'ลพบุรี'!N330+'สระแก้ว'!N330+'สระบุรี'!N330+'สิงห์บุรี'!N330+'สุพรรณบุรี'!N330+'อ่างทอง'!N330</f>
        <v>0</v>
      </c>
      <c r="O330" s="187">
        <f t="shared" si="41"/>
        <v>0</v>
      </c>
      <c r="P330" s="187">
        <f t="shared" si="4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>'กาญจนบุรี'!L331+'จันทบุรี'!L331+'ฉะเชิงเทรา'!L331+'ชลบุรี'!L331+'ชัยนาท'!L331+'ตราด'!L331+'นครนายก'!L331+'นครปฐม'!L331+'ปทุมธานี'!L331+'ประจวบคีรีขันธ์'!L331+'ปราจีนบุรี'!L331+'พระนครศรีอยุธยา'!L331+'เพชรบุรี'!L331+'ระยอง'!L331+'ราชบุรี'!L331+'ลพบุรี'!L331+'สระแก้ว'!L331+'สระบุรี'!L331+'สิงห์บุรี'!L331+'สุพรรณบุรี'!L331+'อ่างทอง'!L331</f>
        <v>17406040</v>
      </c>
      <c r="M331" s="188">
        <f>'กาญจนบุรี'!M331+'จันทบุรี'!M331+'ฉะเชิงเทรา'!M331+'ชลบุรี'!M331+'ชัยนาท'!M331+'ตราด'!M331+'นครนายก'!M331+'นครปฐม'!M331+'ปทุมธานี'!M331+'ประจวบคีรีขันธ์'!M331+'ปราจีนบุรี'!M331+'พระนครศรีอยุธยา'!M331+'เพชรบุรี'!M331+'ระยอง'!M331+'ราชบุรี'!M331+'ลพบุรี'!M331+'สระแก้ว'!M331+'สระบุรี'!M331+'สิงห์บุรี'!M331+'สุพรรณบุรี'!M331+'อ่างทอง'!M331</f>
        <v>8576780</v>
      </c>
      <c r="N331" s="188">
        <f>'กาญจนบุรี'!N331+'จันทบุรี'!N331+'ฉะเชิงเทรา'!N331+'ชลบุรี'!N331+'ชัยนาท'!N331+'ตราด'!N331+'นครนายก'!N331+'นครปฐม'!N331+'ปทุมธานี'!N331+'ประจวบคีรีขันธ์'!N331+'ปราจีนบุรี'!N331+'พระนครศรีอยุธยา'!N331+'เพชรบุรี'!N331+'ระยอง'!N331+'ราชบุรี'!N331+'ลพบุรี'!N331+'สระแก้ว'!N331+'สระบุรี'!N331+'สิงห์บุรี'!N331+'สุพรรณบุรี'!N331+'อ่างทอง'!N331</f>
        <v>5900334</v>
      </c>
      <c r="O331" s="187">
        <f t="shared" si="41"/>
        <v>33.89819856</v>
      </c>
      <c r="P331" s="187">
        <f t="shared" si="42"/>
        <v>68.79427944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f>'กาญจนบุรี'!L332+'จันทบุรี'!L332+'ฉะเชิงเทรา'!L332+'ชลบุรี'!L332+'ชัยนาท'!L332+'ตราด'!L332+'นครนายก'!L332+'นครปฐม'!L332+'ปทุมธานี'!L332+'ประจวบคีรีขันธ์'!L332+'ปราจีนบุรี'!L332+'พระนครศรีอยุธยา'!L332+'เพชรบุรี'!L332+'ระยอง'!L332+'ราชบุรี'!L332+'ลพบุรี'!L332+'สระแก้ว'!L332+'สระบุรี'!L332+'สิงห์บุรี'!L332+'สุพรรณบุรี'!L332+'อ่างทอง'!L332</f>
        <v>0</v>
      </c>
      <c r="M332" s="197">
        <f>'กาญจนบุรี'!M332+'จันทบุรี'!M332+'ฉะเชิงเทรา'!M332+'ชลบุรี'!M332+'ชัยนาท'!M332+'ตราด'!M332+'นครนายก'!M332+'นครปฐม'!M332+'ปทุมธานี'!M332+'ประจวบคีรีขันธ์'!M332+'ปราจีนบุรี'!M332+'พระนครศรีอยุธยา'!M332+'เพชรบุรี'!M332+'ระยอง'!M332+'ราชบุรี'!M332+'ลพบุรี'!M332+'สระแก้ว'!M332+'สระบุรี'!M332+'สิงห์บุรี'!M332+'สุพรรณบุรี'!M332+'อ่างทอง'!M332</f>
        <v>0</v>
      </c>
      <c r="N332" s="197">
        <f>'กาญจนบุรี'!N332+'จันทบุรี'!N332+'ฉะเชิงเทรา'!N332+'ชลบุรี'!N332+'ชัยนาท'!N332+'ตราด'!N332+'นครนายก'!N332+'นครปฐม'!N332+'ปทุมธานี'!N332+'ประจวบคีรีขันธ์'!N332+'ปราจีนบุรี'!N332+'พระนครศรีอยุธยา'!N332+'เพชรบุรี'!N332+'ระยอง'!N332+'ราชบุรี'!N332+'ลพบุรี'!N332+'สระแก้ว'!N332+'สระบุรี'!N332+'สิงห์บุรี'!N332+'สุพรรณบุรี'!N332+'อ่างทอง'!N332</f>
        <v>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'กาญจนบุรี'!L333+'จันทบุรี'!L333+'ฉะเชิงเทรา'!L333+'ชลบุรี'!L333+'ชัยนาท'!L333+'ตราด'!L333+'นครนายก'!L333+'นครปฐม'!L333+'ปทุมธานี'!L333+'ประจวบคีรีขันธ์'!L333+'ปราจีนบุรี'!L333+'พระนครศรีอยุธยา'!L333+'เพชรบุรี'!L333+'ระยอง'!L333+'ราชบุรี'!L333+'ลพบุรี'!L333+'สระแก้ว'!L333+'สระบุรี'!L333+'สิงห์บุรี'!L333+'สุพรรณบุรี'!L333+'อ่างทอง'!L333</f>
        <v>16165540</v>
      </c>
      <c r="M333" s="201">
        <f>'กาญจนบุรี'!M333+'จันทบุรี'!M333+'ฉะเชิงเทรา'!M333+'ชลบุรี'!M333+'ชัยนาท'!M333+'ตราด'!M333+'นครนายก'!M333+'นครปฐม'!M333+'ปทุมธานี'!M333+'ประจวบคีรีขันธ์'!M333+'ปราจีนบุรี'!M333+'พระนครศรีอยุธยา'!M333+'เพชรบุรี'!M333+'ระยอง'!M333+'ราชบุรี'!M333+'ลพบุรี'!M333+'สระแก้ว'!M333+'สระบุรี'!M333+'สิงห์บุรี'!M333+'สุพรรณบุรี'!M333+'อ่างทอง'!M333</f>
        <v>8576780</v>
      </c>
      <c r="N333" s="202">
        <f>'กาญจนบุรี'!N333+'จันทบุรี'!N333+'ฉะเชิงเทรา'!N333+'ชลบุรี'!N333+'ชัยนาท'!N333+'ตราด'!N333+'นครนายก'!N333+'นครปฐม'!N333+'ปทุมธานี'!N333+'ประจวบคีรีขันธ์'!N333+'ปราจีนบุรี'!N333+'พระนครศรีอยุธยา'!N333+'เพชรบุรี'!N333+'ระยอง'!N333+'ราชบุรี'!N333+'ลพบุรี'!N333+'สระแก้ว'!N333+'สระบุรี'!N333+'สิงห์บุรี'!N333+'สุพรรณบุรี'!N333+'อ่างทอง'!N333</f>
        <v>4692284</v>
      </c>
      <c r="O333" s="203">
        <f>IF(L333&gt;0,N333*100/L333,0)</f>
        <v>29.02645999</v>
      </c>
      <c r="P333" s="203">
        <f>IF(M333&gt;0,N333*100/M333,0)</f>
        <v>54.70915658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'กาญจนบุรี'!L334+'จันทบุรี'!L334+'ฉะเชิงเทรา'!L334+'ชลบุรี'!L334+'ชัยนาท'!L334+'ตราด'!L334+'นครนายก'!L334+'นครปฐม'!L334+'ปทุมธานี'!L334+'ประจวบคีรีขันธ์'!L334+'ปราจีนบุรี'!L334+'พระนครศรีอยุธยา'!L334+'เพชรบุรี'!L334+'ระยอง'!L334+'ราชบุรี'!L334+'ลพบุรี'!L334+'สระแก้ว'!L334+'สระบุรี'!L334+'สิงห์บุรี'!L334+'สุพรรณบุรี'!L334+'อ่างทอง'!L334</f>
        <v>9640300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'กาญจนบุรี'!L335+'จันทบุรี'!L335+'ฉะเชิงเทรา'!L335+'ชลบุรี'!L335+'ชัยนาท'!L335+'ตราด'!L335+'นครนายก'!L335+'นครปฐม'!L335+'ปทุมธานี'!L335+'ประจวบคีรีขันธ์'!L335+'ปราจีนบุรี'!L335+'พระนครศรีอยุธยา'!L335+'เพชรบุรี'!L335+'ระยอง'!L335+'ราชบุรี'!L335+'ลพบุรี'!L335+'สระแก้ว'!L335+'สระบุรี'!L335+'สิงห์บุรี'!L335+'สุพรรณบุรี'!L335+'อ่างทอง'!L335</f>
        <v>6525240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f>'กาญจนบุรี'!L336+'จันทบุรี'!L336+'ฉะเชิงเทรา'!L336+'ชลบุรี'!L336+'ชัยนาท'!L336+'ตราด'!L336+'นครนายก'!L336+'นครปฐม'!L336+'ปทุมธานี'!L336+'ประจวบคีรีขันธ์'!L336+'ปราจีนบุรี'!L336+'พระนครศรีอยุธยา'!L336+'เพชรบุรี'!L336+'ระยอง'!L336+'ราชบุรี'!L336+'ลพบุรี'!L336+'สระแก้ว'!L336+'สระบุรี'!L336+'สิงห์บุรี'!L336+'สุพรรณบุรี'!L336+'อ่างทอง'!L336</f>
        <v>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'กาญจนบุรี'!L337+'จันทบุรี'!L337+'ฉะเชิงเทรา'!L337+'ชลบุรี'!L337+'ชัยนาท'!L337+'ตราด'!L337+'นครนายก'!L337+'นครปฐม'!L337+'ปทุมธานี'!L337+'ประจวบคีรีขันธ์'!L337+'ปราจีนบุรี'!L337+'พระนครศรีอยุธยา'!L337+'เพชรบุรี'!L337+'ระยอง'!L337+'ราชบุรี'!L337+'ลพบุรี'!L337+'สระแก้ว'!L337+'สระบุรี'!L337+'สิงห์บุรี'!L337+'สุพรรณบุรี'!L337+'อ่างทอง'!L337</f>
        <v>1240500</v>
      </c>
      <c r="M337" s="125"/>
      <c r="N337" s="115">
        <f>'กาญจนบุรี'!N337+'จันทบุรี'!N337+'ฉะเชิงเทรา'!N337+'ชลบุรี'!N337+'ชัยนาท'!N337+'ตราด'!N337+'นครนายก'!N337+'นครปฐม'!N337+'ปทุมธานี'!N337+'ประจวบคีรีขันธ์'!N337+'ปราจีนบุรี'!N337+'พระนครศรีอยุธยา'!N337+'เพชรบุรี'!N337+'ระยอง'!N337+'ราชบุรี'!N337+'ลพบุรี'!N337+'สระแก้ว'!N337+'สระบุรี'!N337+'สิงห์บุรี'!N337+'สุพรรณบุรี'!N337+'อ่างทอง'!N337</f>
        <v>1208050</v>
      </c>
      <c r="O337" s="125">
        <f>IF(L337&gt;0,N337*100/L337,0)</f>
        <v>97.38411931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'กาญจนบุรี'!I339+'จันทบุรี'!I339+'ฉะเชิงเทรา'!I339+'ชลบุรี'!I339+'ชัยนาท'!I339+'ตราด'!I339+'นครนายก'!I339+'นครปฐม'!I339+'ปทุมธานี'!I339+'ประจวบคีรีขันธ์'!I339+'ปราจีนบุรี'!I339+'พระนครศรีอยุธยา'!I339+'เพชรบุรี'!I339+'ระยอง'!I339+'ราชบุรี'!I339+'ลพบุรี'!I339+'สระแก้ว'!I339+'สระบุรี'!I339+'สิงห์บุรี'!I339+'สุพรรณบุรี'!I339+'อ่างทอง'!I339</f>
        <v>0</v>
      </c>
      <c r="J339" s="222">
        <f>'กาญจนบุรี'!J339+'จันทบุรี'!J339+'ฉะเชิงเทรา'!J339+'ชลบุรี'!J339+'ชัยนาท'!J339+'ตราด'!J339+'นครนายก'!J339+'นครปฐม'!J339+'ปทุมธานี'!J339+'ประจวบคีรีขันธ์'!J339+'ปราจีนบุรี'!J339+'พระนครศรีอยุธยา'!J339+'เพชรบุรี'!J339+'ระยอง'!J339+'ราชบุรี'!J339+'ลพบุรี'!J339+'สระแก้ว'!J339+'สระบุรี'!J339+'สิงห์บุรี'!J339+'สุพรรณบุรี'!J339+'อ่างทอง'!J339</f>
        <v>936</v>
      </c>
      <c r="K339" s="375">
        <f t="shared" ref="K339:K346" si="43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'กาญจนบุรี'!I340+'จันทบุรี'!I340+'ฉะเชิงเทรา'!I340+'ชลบุรี'!I340+'ชัยนาท'!I340+'ตราด'!I340+'นครนายก'!I340+'นครปฐม'!I340+'ปทุมธานี'!I340+'ประจวบคีรีขันธ์'!I340+'ปราจีนบุรี'!I340+'พระนครศรีอยุธยา'!I340+'เพชรบุรี'!I340+'ระยอง'!I340+'ราชบุรี'!I340+'ลพบุรี'!I340+'สระแก้ว'!I340+'สระบุรี'!I340+'สิงห์บุรี'!I340+'สุพรรณบุรี'!I340+'อ่างทอง'!I340</f>
        <v>31359</v>
      </c>
      <c r="J340" s="222">
        <f>'กาญจนบุรี'!J340+'จันทบุรี'!J340+'ฉะเชิงเทรา'!J340+'ชลบุรี'!J340+'ชัยนาท'!J340+'ตราด'!J340+'นครนายก'!J340+'นครปฐม'!J340+'ปทุมธานี'!J340+'ประจวบคีรีขันธ์'!J340+'ปราจีนบุรี'!J340+'พระนครศรีอยุธยา'!J340+'เพชรบุรี'!J340+'ระยอง'!J340+'ราชบุรี'!J340+'ลพบุรี'!J340+'สระแก้ว'!J340+'สระบุรี'!J340+'สิงห์บุรี'!J340+'สุพรรณบุรี'!J340+'อ่างทอง'!J340</f>
        <v>10081.7</v>
      </c>
      <c r="K340" s="375">
        <f t="shared" si="43"/>
        <v>32.14930323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'กาญจนบุรี'!I341+'จันทบุรี'!I341+'ฉะเชิงเทรา'!I341+'ชลบุรี'!I341+'ชัยนาท'!I341+'ตราด'!I341+'นครนายก'!I341+'นครปฐม'!I341+'ปทุมธานี'!I341+'ประจวบคีรีขันธ์'!I341+'ปราจีนบุรี'!I341+'พระนครศรีอยุธยา'!I341+'เพชรบุรี'!I341+'ระยอง'!I341+'ราชบุรี'!I341+'ลพบุรี'!I341+'สระแก้ว'!I341+'สระบุรี'!I341+'สิงห์บุรี'!I341+'สุพรรณบุรี'!I341+'อ่างทอง'!I341</f>
        <v>2742</v>
      </c>
      <c r="J341" s="222">
        <f>'กาญจนบุรี'!J341+'จันทบุรี'!J341+'ฉะเชิงเทรา'!J341+'ชลบุรี'!J341+'ชัยนาท'!J341+'ตราด'!J341+'นครนายก'!J341+'นครปฐม'!J341+'ปทุมธานี'!J341+'ประจวบคีรีขันธ์'!J341+'ปราจีนบุรี'!J341+'พระนครศรีอยุธยา'!J341+'เพชรบุรี'!J341+'ระยอง'!J341+'ราชบุรี'!J341+'ลพบุรี'!J341+'สระแก้ว'!J341+'สระบุรี'!J341+'สิงห์บุรี'!J341+'สุพรรณบุรี'!J341+'อ่างทอง'!J341</f>
        <v>870</v>
      </c>
      <c r="K341" s="375">
        <f t="shared" si="43"/>
        <v>31.72866521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'กาญจนบุรี'!I342+'จันทบุรี'!I342+'ฉะเชิงเทรา'!I342+'ชลบุรี'!I342+'ชัยนาท'!I342+'ตราด'!I342+'นครนายก'!I342+'นครปฐม'!I342+'ปทุมธานี'!I342+'ประจวบคีรีขันธ์'!I342+'ปราจีนบุรี'!I342+'พระนครศรีอยุธยา'!I342+'เพชรบุรี'!I342+'ระยอง'!I342+'ราชบุรี'!I342+'ลพบุรี'!I342+'สระแก้ว'!I342+'สระบุรี'!I342+'สิงห์บุรี'!I342+'สุพรรณบุรี'!I342+'อ่างทอง'!I342</f>
        <v>0</v>
      </c>
      <c r="J342" s="222">
        <f>'กาญจนบุรี'!J342+'จันทบุรี'!J342+'ฉะเชิงเทรา'!J342+'ชลบุรี'!J342+'ชัยนาท'!J342+'ตราด'!J342+'นครนายก'!J342+'นครปฐม'!J342+'ปทุมธานี'!J342+'ประจวบคีรีขันธ์'!J342+'ปราจีนบุรี'!J342+'พระนครศรีอยุธยา'!J342+'เพชรบุรี'!J342+'ระยอง'!J342+'ราชบุรี'!J342+'ลพบุรี'!J342+'สระแก้ว'!J342+'สระบุรี'!J342+'สิงห์บุรี'!J342+'สุพรรณบุรี'!J342+'อ่างทอง'!J342</f>
        <v>10822.64</v>
      </c>
      <c r="K342" s="375">
        <f t="shared" si="43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'กาญจนบุรี'!I343+'จันทบุรี'!I343+'ฉะเชิงเทรา'!I343+'ชลบุรี'!I343+'ชัยนาท'!I343+'ตราด'!I343+'นครนายก'!I343+'นครปฐม'!I343+'ปทุมธานี'!I343+'ประจวบคีรีขันธ์'!I343+'ปราจีนบุรี'!I343+'พระนครศรีอยุธยา'!I343+'เพชรบุรี'!I343+'ระยอง'!I343+'ราชบุรี'!I343+'ลพบุรี'!I343+'สระแก้ว'!I343+'สระบุรี'!I343+'สิงห์บุรี'!I343+'สุพรรณบุรี'!I343+'อ่างทอง'!I343</f>
        <v>2742</v>
      </c>
      <c r="J343" s="222">
        <f>'กาญจนบุรี'!J343+'จันทบุรี'!J343+'ฉะเชิงเทรา'!J343+'ชลบุรี'!J343+'ชัยนาท'!J343+'ตราด'!J343+'นครนายก'!J343+'นครปฐม'!J343+'ปทุมธานี'!J343+'ประจวบคีรีขันธ์'!J343+'ปราจีนบุรี'!J343+'พระนครศรีอยุธยา'!J343+'เพชรบุรี'!J343+'ระยอง'!J343+'ราชบุรี'!J343+'ลพบุรี'!J343+'สระแก้ว'!J343+'สระบุรี'!J343+'สิงห์บุรี'!J343+'สุพรรณบุรี'!J343+'อ่างทอง'!J343</f>
        <v>0</v>
      </c>
      <c r="K343" s="375">
        <f t="shared" si="43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'กาญจนบุรี'!I344+'จันทบุรี'!I344+'ฉะเชิงเทรา'!I344+'ชลบุรี'!I344+'ชัยนาท'!I344+'ตราด'!I344+'นครนายก'!I344+'นครปฐม'!I344+'ปทุมธานี'!I344+'ประจวบคีรีขันธ์'!I344+'ปราจีนบุรี'!I344+'พระนครศรีอยุธยา'!I344+'เพชรบุรี'!I344+'ระยอง'!I344+'ราชบุรี'!I344+'ลพบุรี'!I344+'สระแก้ว'!I344+'สระบุรี'!I344+'สิงห์บุรี'!I344+'สุพรรณบุรี'!I344+'อ่างทอง'!I344</f>
        <v>0</v>
      </c>
      <c r="J344" s="222">
        <f>'กาญจนบุรี'!J344+'จันทบุรี'!J344+'ฉะเชิงเทรา'!J344+'ชลบุรี'!J344+'ชัยนาท'!J344+'ตราด'!J344+'นครนายก'!J344+'นครปฐม'!J344+'ปทุมธานี'!J344+'ประจวบคีรีขันธ์'!J344+'ปราจีนบุรี'!J344+'พระนครศรีอยุธยา'!J344+'เพชรบุรี'!J344+'ระยอง'!J344+'ราชบุรี'!J344+'ลพบุรี'!J344+'สระแก้ว'!J344+'สระบุรี'!J344+'สิงห์บุรี'!J344+'สุพรรณบุรี'!J344+'อ่างทอง'!J344</f>
        <v>0</v>
      </c>
      <c r="K344" s="375">
        <f t="shared" si="43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'กาญจนบุรี'!I345+'จันทบุรี'!I345+'ฉะเชิงเทรา'!I345+'ชลบุรี'!I345+'ชัยนาท'!I345+'ตราด'!I345+'นครนายก'!I345+'นครปฐม'!I345+'ปทุมธานี'!I345+'ประจวบคีรีขันธ์'!I345+'ปราจีนบุรี'!I345+'พระนครศรีอยุธยา'!I345+'เพชรบุรี'!I345+'ระยอง'!I345+'ราชบุรี'!I345+'ลพบุรี'!I345+'สระแก้ว'!I345+'สระบุรี'!I345+'สิงห์บุรี'!I345+'สุพรรณบุรี'!I345+'อ่างทอง'!I345</f>
        <v>2742</v>
      </c>
      <c r="J345" s="222">
        <f>'กาญจนบุรี'!J345+'จันทบุรี'!J345+'ฉะเชิงเทรา'!J345+'ชลบุรี'!J345+'ชัยนาท'!J345+'ตราด'!J345+'นครนายก'!J345+'นครปฐม'!J345+'ปทุมธานี'!J345+'ประจวบคีรีขันธ์'!J345+'ปราจีนบุรี'!J345+'พระนครศรีอยุธยา'!J345+'เพชรบุรี'!J345+'ระยอง'!J345+'ราชบุรี'!J345+'ลพบุรี'!J345+'สระแก้ว'!J345+'สระบุรี'!J345+'สิงห์บุรี'!J345+'สุพรรณบุรี'!J345+'อ่างทอง'!J345</f>
        <v>465</v>
      </c>
      <c r="K345" s="375">
        <f t="shared" si="43"/>
        <v>16.95842451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'กาญจนบุรี'!I346+'จันทบุรี'!I346+'ฉะเชิงเทรา'!I346+'ชลบุรี'!I346+'ชัยนาท'!I346+'ตราด'!I346+'นครนายก'!I346+'นครปฐม'!I346+'ปทุมธานี'!I346+'ประจวบคีรีขันธ์'!I346+'ปราจีนบุรี'!I346+'พระนครศรีอยุธยา'!I346+'เพชรบุรี'!I346+'ระยอง'!I346+'ราชบุรี'!I346+'ลพบุรี'!I346+'สระแก้ว'!I346+'สระบุรี'!I346+'สิงห์บุรี'!I346+'สุพรรณบุรี'!I346+'อ่างทอง'!I346</f>
        <v>0</v>
      </c>
      <c r="J346" s="222">
        <f>'กาญจนบุรี'!J346+'จันทบุรี'!J346+'ฉะเชิงเทรา'!J346+'ชลบุรี'!J346+'ชัยนาท'!J346+'ตราด'!J346+'นครนายก'!J346+'นครปฐม'!J346+'ปทุมธานี'!J346+'ประจวบคีรีขันธ์'!J346+'ปราจีนบุรี'!J346+'พระนครศรีอยุธยา'!J346+'เพชรบุรี'!J346+'ระยอง'!J346+'ราชบุรี'!J346+'ลพบุรี'!J346+'สระแก้ว'!J346+'สระบุรี'!J346+'สิงห์บุรี'!J346+'สุพรรณบุรี'!J346+'อ่างทอง'!J346</f>
        <v>6280.95</v>
      </c>
      <c r="K346" s="384">
        <f t="shared" si="43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'กาญจนบุรี'!L347+'จันทบุรี'!L347+'ฉะเชิงเทรา'!L347+'ชลบุรี'!L347+'ชัยนาท'!L347+'ตราด'!L347+'นครนายก'!L347+'นครปฐม'!L347+'ปทุมธานี'!L347+'ประจวบคีรีขันธ์'!L347+'ปราจีนบุรี'!L347+'พระนครศรีอยุธยา'!L347+'เพชรบุรี'!L347+'ระยอง'!L347+'ราชบุรี'!L347+'ลพบุรี'!L347+'สระแก้ว'!L347+'สระบุรี'!L347+'สิงห์บุรี'!L347+'สุพรรณบุรี'!L347+'อ่างทอง'!L347</f>
        <v>27551718</v>
      </c>
      <c r="M347" s="391"/>
      <c r="N347" s="391">
        <f>'กาญจนบุรี'!N347+'จันทบุรี'!N347+'ฉะเชิงเทรา'!N347+'ชลบุรี'!N347+'ชัยนาท'!N347+'ตราด'!N347+'นครนายก'!N347+'นครปฐม'!N347+'ปทุมธานี'!N347+'ประจวบคีรีขันธ์'!N347+'ปราจีนบุรี'!N347+'พระนครศรีอยุธยา'!N347+'เพชรบุรี'!N347+'ระยอง'!N347+'ราชบุรี'!N347+'ลพบุรี'!N347+'สระแก้ว'!N347+'สระบุรี'!N347+'สิงห์บุรี'!N347+'สุพรรณบุรี'!N347+'อ่างทอง'!N347</f>
        <v>3312130.357</v>
      </c>
      <c r="O347" s="391">
        <f>+IF(L347&gt;0,N347*100/L347,0)</f>
        <v>12.0215021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'กาญจนบุรี'!I349+'จันทบุรี'!I349+'ฉะเชิงเทรา'!I349+'ชลบุรี'!I349+'ชัยนาท'!I349+'ตราด'!I349+'นครนายก'!I349+'นครปฐม'!I349+'ปทุมธานี'!I349+'ประจวบคีรีขันธ์'!I349+'ปราจีนบุรี'!I349+'พระนครศรีอยุธยา'!I349+'เพชรบุรี'!I349+'ระยอง'!I349+'ราชบุรี'!I349+'ลพบุรี'!I349+'สระแก้ว'!I349+'สระบุรี'!I349+'สิงห์บุรี'!I349+'สุพรรณบุรี'!I349+'อ่างทอง'!I349</f>
        <v>634</v>
      </c>
      <c r="J349" s="404">
        <f>'กาญจนบุรี'!J349+'จันทบุรี'!J349+'ฉะเชิงเทรา'!J349+'ชลบุรี'!J349+'ชัยนาท'!J349+'ตราด'!J349+'นครนายก'!J349+'นครปฐม'!J349+'ปทุมธานี'!J349+'ประจวบคีรีขันธ์'!J349+'ปราจีนบุรี'!J349+'พระนครศรีอยุธยา'!J349+'เพชรบุรี'!J349+'ระยอง'!J349+'ราชบุรี'!J349+'ลพบุรี'!J349+'สระแก้ว'!J349+'สระบุรี'!J349+'สิงห์บุรี'!J349+'สุพรรณบุรี'!J349+'อ่างทอง'!J349</f>
        <v>0</v>
      </c>
      <c r="K349" s="405">
        <f t="shared" ref="K349:K350" si="44">IF(I349&gt;0,J349*100/I349,0)</f>
        <v>0</v>
      </c>
      <c r="L349" s="406">
        <f>'กาญจนบุรี'!L349+'จันทบุรี'!L349+'ฉะเชิงเทรา'!L349+'ชลบุรี'!L349+'ชัยนาท'!L349+'ตราด'!L349+'นครนายก'!L349+'นครปฐม'!L349+'ปทุมธานี'!L349+'ประจวบคีรีขันธ์'!L349+'ปราจีนบุรี'!L349+'พระนครศรีอยุธยา'!L349+'เพชรบุรี'!L349+'ระยอง'!L349+'ราชบุรี'!L349+'ลพบุรี'!L349+'สระแก้ว'!L349+'สระบุรี'!L349+'สิงห์บุรี'!L349+'สุพรรณบุรี'!L349+'อ่างทอง'!L349</f>
        <v>2223740</v>
      </c>
      <c r="M349" s="406"/>
      <c r="N349" s="406">
        <f>'กาญจนบุรี'!N349+'จันทบุรี'!N349+'ฉะเชิงเทรา'!N349+'ชลบุรี'!N349+'ชัยนาท'!N349+'ตราด'!N349+'นครนายก'!N349+'นครปฐม'!N349+'ปทุมธานี'!N349+'ประจวบคีรีขันธ์'!N349+'ปราจีนบุรี'!N349+'พระนครศรีอยุธยา'!N349+'เพชรบุรี'!N349+'ระยอง'!N349+'ราชบุรี'!N349+'ลพบุรี'!N349+'สระแก้ว'!N349+'สระบุรี'!N349+'สิงห์บุรี'!N349+'สุพรรณบุรี'!N349+'อ่างทอง'!N349</f>
        <v>236399.01</v>
      </c>
      <c r="O349" s="406">
        <f>+IF(L349&gt;0,N349*100/L349,0)</f>
        <v>10.63069469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'กาญจนบุรี'!I350+'จันทบุรี'!I350+'ฉะเชิงเทรา'!I350+'ชลบุรี'!I350+'ชัยนาท'!I350+'ตราด'!I350+'นครนายก'!I350+'นครปฐม'!I350+'ปทุมธานี'!I350+'ประจวบคีรีขันธ์'!I350+'ปราจีนบุรี'!I350+'พระนครศรีอยุธยา'!I350+'เพชรบุรี'!I350+'ระยอง'!I350+'ราชบุรี'!I350+'ลพบุรี'!I350+'สระแก้ว'!I350+'สระบุรี'!I350+'สิงห์บุรี'!I350+'สุพรรณบุรี'!I350+'อ่างทอง'!I350</f>
        <v>292</v>
      </c>
      <c r="J350" s="404">
        <f>'กาญจนบุรี'!J350+'จันทบุรี'!J350+'ฉะเชิงเทรา'!J350+'ชลบุรี'!J350+'ชัยนาท'!J350+'ตราด'!J350+'นครนายก'!J350+'นครปฐม'!J350+'ปทุมธานี'!J350+'ประจวบคีรีขันธ์'!J350+'ปราจีนบุรี'!J350+'พระนครศรีอยุธยา'!J350+'เพชรบุรี'!J350+'ระยอง'!J350+'ราชบุรี'!J350+'ลพบุรี'!J350+'สระแก้ว'!J350+'สระบุรี'!J350+'สิงห์บุรี'!J350+'สุพรรณบุรี'!J350+'อ่างทอง'!J350</f>
        <v>6</v>
      </c>
      <c r="K350" s="405">
        <f t="shared" si="44"/>
        <v>2.054794521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'กาญจนบุรี'!L351+'จันทบุรี'!L351+'ฉะเชิงเทรา'!L351+'ชลบุรี'!L351+'ชัยนาท'!L351+'ตราด'!L351+'นครนายก'!L351+'นครปฐม'!L351+'ปทุมธานี'!L351+'ประจวบคีรีขันธ์'!L351+'ปราจีนบุรี'!L351+'พระนครศรีอยุธยา'!L351+'เพชรบุรี'!L351+'ระยอง'!L351+'ราชบุรี'!L351+'ลพบุรี'!L351+'สระแก้ว'!L351+'สระบุรี'!L351+'สิงห์บุรี'!L351+'สุพรรณบุรี'!L351+'อ่างทอง'!L351</f>
        <v>0</v>
      </c>
      <c r="M351" s="197"/>
      <c r="N351" s="197">
        <f>'กาญจนบุรี'!N351+'จันทบุรี'!N351+'ฉะเชิงเทรา'!N351+'ชลบุรี'!N351+'ชัยนาท'!N351+'ตราด'!N351+'นครนายก'!N351+'นครปฐม'!N351+'ปทุมธานี'!N351+'ประจวบคีรีขันธ์'!N351+'ปราจีนบุรี'!N351+'พระนครศรีอยุธยา'!N351+'เพชรบุรี'!N351+'ระยอง'!N351+'ราชบุรี'!N351+'ลพบุรี'!N351+'สระแก้ว'!N351+'สระบุรี'!N351+'สิงห์บุรี'!N351+'สุพรรณบุรี'!N351+'อ่างทอง'!N351</f>
        <v>0</v>
      </c>
      <c r="O351" s="198">
        <f t="shared" ref="O351:O354" si="45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'กาญจนบุรี'!L352+'จันทบุรี'!L352+'ฉะเชิงเทรา'!L352+'ชลบุรี'!L352+'ชัยนาท'!L352+'ตราด'!L352+'นครนายก'!L352+'นครปฐม'!L352+'ปทุมธานี'!L352+'ประจวบคีรีขันธ์'!L352+'ปราจีนบุรี'!L352+'พระนครศรีอยุธยา'!L352+'เพชรบุรี'!L352+'ระยอง'!L352+'ราชบุรี'!L352+'ลพบุรี'!L352+'สระแก้ว'!L352+'สระบุรี'!L352+'สิงห์บุรี'!L352+'สุพรรณบุรี'!L352+'อ่างทอง'!L352</f>
        <v>2223740</v>
      </c>
      <c r="M352" s="198"/>
      <c r="N352" s="197">
        <f>'กาญจนบุรี'!N352+'จันทบุรี'!N352+'ฉะเชิงเทรา'!N352+'ชลบุรี'!N352+'ชัยนาท'!N352+'ตราด'!N352+'นครนายก'!N352+'นครปฐม'!N352+'ปทุมธานี'!N352+'ประจวบคีรีขันธ์'!N352+'ปราจีนบุรี'!N352+'พระนครศรีอยุธยา'!N352+'เพชรบุรี'!N352+'ระยอง'!N352+'ราชบุรี'!N352+'ลพบุรี'!N352+'สระแก้ว'!N352+'สระบุรี'!N352+'สิงห์บุรี'!N352+'สุพรรณบุรี'!N352+'อ่างทอง'!N352</f>
        <v>236399.01</v>
      </c>
      <c r="O352" s="198">
        <f t="shared" si="45"/>
        <v>10.63069469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'กาญจนบุรี'!L353+'จันทบุรี'!L353+'ฉะเชิงเทรา'!L353+'ชลบุรี'!L353+'ชัยนาท'!L353+'ตราด'!L353+'นครนายก'!L353+'นครปฐม'!L353+'ปทุมธานี'!L353+'ประจวบคีรีขันธ์'!L353+'ปราจีนบุรี'!L353+'พระนครศรีอยุธยา'!L353+'เพชรบุรี'!L353+'ระยอง'!L353+'ราชบุรี'!L353+'ลพบุรี'!L353+'สระแก้ว'!L353+'สระบุรี'!L353+'สิงห์บุรี'!L353+'สุพรรณบุรี'!L353+'อ่างทอง'!L353</f>
        <v>0</v>
      </c>
      <c r="M353" s="203"/>
      <c r="N353" s="203">
        <f>'กาญจนบุรี'!N353+'จันทบุรี'!N353+'ฉะเชิงเทรา'!N353+'ชลบุรี'!N353+'ชัยนาท'!N353+'ตราด'!N353+'นครนายก'!N353+'นครปฐม'!N353+'ปทุมธานี'!N353+'ประจวบคีรีขันธ์'!N353+'ปราจีนบุรี'!N353+'พระนครศรีอยุธยา'!N353+'เพชรบุรี'!N353+'ระยอง'!N353+'ราชบุรี'!N353+'ลพบุรี'!N353+'สระแก้ว'!N353+'สระบุรี'!N353+'สิงห์บุรี'!N353+'สุพรรณบุรี'!N353+'อ่างทอง'!N353</f>
        <v>0</v>
      </c>
      <c r="O353" s="203">
        <f t="shared" si="45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'กาญจนบุรี'!L354+'จันทบุรี'!L354+'ฉะเชิงเทรา'!L354+'ชลบุรี'!L354+'ชัยนาท'!L354+'ตราด'!L354+'นครนายก'!L354+'นครปฐม'!L354+'ปทุมธานี'!L354+'ประจวบคีรีขันธ์'!L354+'ปราจีนบุรี'!L354+'พระนครศรีอยุธยา'!L354+'เพชรบุรี'!L354+'ระยอง'!L354+'ราชบุรี'!L354+'ลพบุรี'!L354+'สระแก้ว'!L354+'สระบุรี'!L354+'สิงห์บุรี'!L354+'สุพรรณบุรี'!L354+'อ่างทอง'!L354</f>
        <v>2223740</v>
      </c>
      <c r="M354" s="203"/>
      <c r="N354" s="200">
        <f>'กาญจนบุรี'!N354+'จันทบุรี'!N354+'ฉะเชิงเทรา'!N354+'ชลบุรี'!N354+'ชัยนาท'!N354+'ตราด'!N354+'นครนายก'!N354+'นครปฐม'!N354+'ปทุมธานี'!N354+'ประจวบคีรีขันธ์'!N354+'ปราจีนบุรี'!N354+'พระนครศรีอยุธยา'!N354+'เพชรบุรี'!N354+'ระยอง'!N354+'ราชบุรี'!N354+'ลพบุรี'!N354+'สระแก้ว'!N354+'สระบุรี'!N354+'สิงห์บุรี'!N354+'สุพรรณบุรี'!N354+'อ่างทอง'!N354</f>
        <v>236399.01</v>
      </c>
      <c r="O354" s="203">
        <f t="shared" si="45"/>
        <v>10.63069469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'กาญจนบุรี'!N355+'จันทบุรี'!N355+'ฉะเชิงเทรา'!N355+'ชลบุรี'!N355+'ชัยนาท'!N355+'ตราด'!N355+'นครนายก'!N355+'นครปฐม'!N355+'ปทุมธานี'!N355+'ประจวบคีรีขันธ์'!N355+'ปราจีนบุรี'!N355+'พระนครศรีอยุธยา'!N355+'เพชรบุรี'!N355+'ระยอง'!N355+'ราชบุรี'!N355+'ลพบุรี'!N355+'สระแก้ว'!N355+'สระบุรี'!N355+'สิงห์บุรี'!N355+'สุพรรณบุรี'!N355+'อ่างทอง'!N355</f>
        <v>81848.01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'กาญจนบุรี'!N356+'จันทบุรี'!N356+'ฉะเชิงเทรา'!N356+'ชลบุรี'!N356+'ชัยนาท'!N356+'ตราด'!N356+'นครนายก'!N356+'นครปฐม'!N356+'ปทุมธานี'!N356+'ประจวบคีรีขันธ์'!N356+'ปราจีนบุรี'!N356+'พระนครศรีอยุธยา'!N356+'เพชรบุรี'!N356+'ระยอง'!N356+'ราชบุรี'!N356+'ลพบุรี'!N356+'สระแก้ว'!N356+'สระบุรี'!N356+'สิงห์บุรี'!N356+'สุพรรณบุรี'!N356+'อ่างทอง'!N356</f>
        <v>1220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'กาญจนบุรี'!N357+'จันทบุรี'!N357+'ฉะเชิงเทรา'!N357+'ชลบุรี'!N357+'ชัยนาท'!N357+'ตราด'!N357+'นครนายก'!N357+'นครปฐม'!N357+'ปทุมธานี'!N357+'ประจวบคีรีขันธ์'!N357+'ปราจีนบุรี'!N357+'พระนครศรีอยุธยา'!N357+'เพชรบุรี'!N357+'ระยอง'!N357+'ราชบุรี'!N357+'ลพบุรี'!N357+'สระแก้ว'!N357+'สระบุรี'!N357+'สิงห์บุรี'!N357+'สุพรรณบุรี'!N357+'อ่างทอง'!N357</f>
        <v>121366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'กาญจนบุรี'!N358+'จันทบุรี'!N358+'ฉะเชิงเทรา'!N358+'ชลบุรี'!N358+'ชัยนาท'!N358+'ตราด'!N358+'นครนายก'!N358+'นครปฐม'!N358+'ปทุมธานี'!N358+'ประจวบคีรีขันธ์'!N358+'ปราจีนบุรี'!N358+'พระนครศรีอยุธยา'!N358+'เพชรบุรี'!N358+'ระยอง'!N358+'ราชบุรี'!N358+'ลพบุรี'!N358+'สระแก้ว'!N358+'สระบุรี'!N358+'สิงห์บุรี'!N358+'สุพรรณบุรี'!N358+'อ่างทอง'!N358</f>
        <v>31965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'กาญจนบุรี'!J360+'จันทบุรี'!J360+'ฉะเชิงเทรา'!J360+'ชลบุรี'!J360+'ชัยนาท'!J360+'ตราด'!J360+'นครนายก'!J360+'นครปฐม'!J360+'ปทุมธานี'!J360+'ประจวบคีรีขันธ์'!J360+'ปราจีนบุรี'!J360+'พระนครศรีอยุธยา'!J360+'เพชรบุรี'!J360+'ระยอง'!J360+'ราชบุรี'!J360+'ลพบุรี'!J360+'สระแก้ว'!J360+'สระบุรี'!J360+'สิงห์บุรี'!J360+'สุพรรณบุรี'!J360+'อ่างทอง'!J360</f>
        <v>2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'กาญจนบุรี'!J361+'จันทบุรี'!J361+'ฉะเชิงเทรา'!J361+'ชลบุรี'!J361+'ชัยนาท'!J361+'ตราด'!J361+'นครนายก'!J361+'นครปฐม'!J361+'ปทุมธานี'!J361+'ประจวบคีรีขันธ์'!J361+'ปราจีนบุรี'!J361+'พระนครศรีอยุธยา'!J361+'เพชรบุรี'!J361+'ระยอง'!J361+'ราชบุรี'!J361+'ลพบุรี'!J361+'สระแก้ว'!J361+'สระบุรี'!J361+'สิงห์บุรี'!J361+'สุพรรณบุรี'!J361+'อ่างทอง'!J361</f>
        <v>9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'กาญจนบุรี'!J362+'จันทบุรี'!J362+'ฉะเชิงเทรา'!J362+'ชลบุรี'!J362+'ชัยนาท'!J362+'ตราด'!J362+'นครนายก'!J362+'นครปฐม'!J362+'ปทุมธานี'!J362+'ประจวบคีรีขันธ์'!J362+'ปราจีนบุรี'!J362+'พระนครศรีอยุธยา'!J362+'เพชรบุรี'!J362+'ระยอง'!J362+'ราชบุรี'!J362+'ลพบุรี'!J362+'สระแก้ว'!J362+'สระบุรี'!J362+'สิงห์บุรี'!J362+'สุพรรณบุรี'!J362+'อ่างทอง'!J362</f>
        <v>7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'กาญจนบุรี'!J363+'จันทบุรี'!J363+'ฉะเชิงเทรา'!J363+'ชลบุรี'!J363+'ชัยนาท'!J363+'ตราด'!J363+'นครนายก'!J363+'นครปฐม'!J363+'ปทุมธานี'!J363+'ประจวบคีรีขันธ์'!J363+'ปราจีนบุรี'!J363+'พระนครศรีอยุธยา'!J363+'เพชรบุรี'!J363+'ระยอง'!J363+'ราชบุรี'!J363+'ลพบุรี'!J363+'สระแก้ว'!J363+'สระบุรี'!J363+'สิงห์บุรี'!J363+'สุพรรณบุรี'!J363+'อ่างทอง'!J363</f>
        <v>5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'กาญจนบุรี'!J364+'จันทบุรี'!J364+'ฉะเชิงเทรา'!J364+'ชลบุรี'!J364+'ชัยนาท'!J364+'ตราด'!J364+'นครนายก'!J364+'นครปฐม'!J364+'ปทุมธานี'!J364+'ประจวบคีรีขันธ์'!J364+'ปราจีนบุรี'!J364+'พระนครศรีอยุธยา'!J364+'เพชรบุรี'!J364+'ระยอง'!J364+'ราชบุรี'!J364+'ลพบุรี'!J364+'สระแก้ว'!J364+'สระบุรี'!J364+'สิงห์บุรี'!J364+'สุพรรณบุรี'!J364+'อ่างทอง'!J364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'กาญจนบุรี'!J365+'จันทบุรี'!J365+'ฉะเชิงเทรา'!J365+'ชลบุรี'!J365+'ชัยนาท'!J365+'ตราด'!J365+'นครนายก'!J365+'นครปฐม'!J365+'ปทุมธานี'!J365+'ประจวบคีรีขันธ์'!J365+'ปราจีนบุรี'!J365+'พระนครศรีอยุธยา'!J365+'เพชรบุรี'!J365+'ระยอง'!J365+'ราชบุรี'!J365+'ลพบุรี'!J365+'สระแก้ว'!J365+'สระบุรี'!J365+'สิงห์บุรี'!J365+'สุพรรณบุรี'!J365+'อ่างทอง'!J365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'กาญจนบุรี'!J366+'จันทบุรี'!J366+'ฉะเชิงเทรา'!J366+'ชลบุรี'!J366+'ชัยนาท'!J366+'ตราด'!J366+'นครนายก'!J366+'นครปฐม'!J366+'ปทุมธานี'!J366+'ประจวบคีรีขันธ์'!J366+'ปราจีนบุรี'!J366+'พระนครศรีอยุธยา'!J366+'เพชรบุรี'!J366+'ระยอง'!J366+'ราชบุรี'!J366+'ลพบุรี'!J366+'สระแก้ว'!J366+'สระบุรี'!J366+'สิงห์บุรี'!J366+'สุพรรณบุรี'!J366+'อ่างทอง'!J366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'กาญจนบุรี'!J367+'จันทบุรี'!J367+'ฉะเชิงเทรา'!J367+'ชลบุรี'!J367+'ชัยนาท'!J367+'ตราด'!J367+'นครนายก'!J367+'นครปฐม'!J367+'ปทุมธานี'!J367+'ประจวบคีรีขันธ์'!J367+'ปราจีนบุรี'!J367+'พระนครศรีอยุธยา'!J367+'เพชรบุรี'!J367+'ระยอง'!J367+'ราชบุรี'!J367+'ลพบุรี'!J367+'สระแก้ว'!J367+'สระบุรี'!J367+'สิงห์บุรี'!J367+'สุพรรณบุรี'!J367+'อ่างทอง'!J367</f>
        <v>0</v>
      </c>
      <c r="K367" s="196">
        <f t="shared" ref="K367:K373" si="46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'กาญจนบุรี'!I368+'จันทบุรี'!I368+'ฉะเชิงเทรา'!I368+'ชลบุรี'!I368+'ชัยนาท'!I368+'ตราด'!I368+'นครนายก'!I368+'นครปฐม'!I368+'ปทุมธานี'!I368+'ประจวบคีรีขันธ์'!I368+'ปราจีนบุรี'!I368+'พระนครศรีอยุธยา'!I368+'เพชรบุรี'!I368+'ระยอง'!I368+'ราชบุรี'!I368+'ลพบุรี'!I368+'สระแก้ว'!I368+'สระบุรี'!I368+'สิงห์บุรี'!I368+'สุพรรณบุรี'!I368+'อ่างทอง'!I368</f>
        <v>292</v>
      </c>
      <c r="J368" s="222">
        <f>'กาญจนบุรี'!J368+'จันทบุรี'!J368+'ฉะเชิงเทรา'!J368+'ชลบุรี'!J368+'ชัยนาท'!J368+'ตราด'!J368+'นครนายก'!J368+'นครปฐม'!J368+'ปทุมธานี'!J368+'ประจวบคีรีขันธ์'!J368+'ปราจีนบุรี'!J368+'พระนครศรีอยุธยา'!J368+'เพชรบุรี'!J368+'ระยอง'!J368+'ราชบุรี'!J368+'ลพบุรี'!J368+'สระแก้ว'!J368+'สระบุรี'!J368+'สิงห์บุรี'!J368+'สุพรรณบุรี'!J368+'อ่างทอง'!J368</f>
        <v>6</v>
      </c>
      <c r="K368" s="196">
        <f t="shared" si="46"/>
        <v>2.054794521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'กาญจนบุรี'!I369+'จันทบุรี'!I369+'ฉะเชิงเทรา'!I369+'ชลบุรี'!I369+'ชัยนาท'!I369+'ตราด'!I369+'นครนายก'!I369+'นครปฐม'!I369+'ปทุมธานี'!I369+'ประจวบคีรีขันธ์'!I369+'ปราจีนบุรี'!I369+'พระนครศรีอยุธยา'!I369+'เพชรบุรี'!I369+'ระยอง'!I369+'ราชบุรี'!I369+'ลพบุรี'!I369+'สระแก้ว'!I369+'สระบุรี'!I369+'สิงห์บุรี'!I369+'สุพรรณบุรี'!I369+'อ่างทอง'!I369</f>
        <v>0</v>
      </c>
      <c r="J369" s="238">
        <f>'กาญจนบุรี'!J369+'จันทบุรี'!J369+'ฉะเชิงเทรา'!J369+'ชลบุรี'!J369+'ชัยนาท'!J369+'ตราด'!J369+'นครนายก'!J369+'นครปฐม'!J369+'ปทุมธานี'!J369+'ประจวบคีรีขันธ์'!J369+'ปราจีนบุรี'!J369+'พระนครศรีอยุธยา'!J369+'เพชรบุรี'!J369+'ระยอง'!J369+'ราชบุรี'!J369+'ลพบุรี'!J369+'สระแก้ว'!J369+'สระบุรี'!J369+'สิงห์บุรี'!J369+'สุพรรณบุรี'!J369+'อ่างทอง'!J369</f>
        <v>0</v>
      </c>
      <c r="K369" s="196">
        <f t="shared" si="46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'กาญจนบุรี'!I370+'จันทบุรี'!I370+'ฉะเชิงเทรา'!I370+'ชลบุรี'!I370+'ชัยนาท'!I370+'ตราด'!I370+'นครนายก'!I370+'นครปฐม'!I370+'ปทุมธานี'!I370+'ประจวบคีรีขันธ์'!I370+'ปราจีนบุรี'!I370+'พระนครศรีอยุธยา'!I370+'เพชรบุรี'!I370+'ระยอง'!I370+'ราชบุรี'!I370+'ลพบุรี'!I370+'สระแก้ว'!I370+'สระบุรี'!I370+'สิงห์บุรี'!I370+'สุพรรณบุรี'!I370+'อ่างทอง'!I370</f>
        <v>292</v>
      </c>
      <c r="J370" s="238">
        <f>'กาญจนบุรี'!J370+'จันทบุรี'!J370+'ฉะเชิงเทรา'!J370+'ชลบุรี'!J370+'ชัยนาท'!J370+'ตราด'!J370+'นครนายก'!J370+'นครปฐม'!J370+'ปทุมธานี'!J370+'ประจวบคีรีขันธ์'!J370+'ปราจีนบุรี'!J370+'พระนครศรีอยุธยา'!J370+'เพชรบุรี'!J370+'ระยอง'!J370+'ราชบุรี'!J370+'ลพบุรี'!J370+'สระแก้ว'!J370+'สระบุรี'!J370+'สิงห์บุรี'!J370+'สุพรรณบุรี'!J370+'อ่างทอง'!J370</f>
        <v>50</v>
      </c>
      <c r="K370" s="196">
        <f t="shared" si="46"/>
        <v>17.12328767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'กาญจนบุรี'!I371+'จันทบุรี'!I371+'ฉะเชิงเทรา'!I371+'ชลบุรี'!I371+'ชัยนาท'!I371+'ตราด'!I371+'นครนายก'!I371+'นครปฐม'!I371+'ปทุมธานี'!I371+'ประจวบคีรีขันธ์'!I371+'ปราจีนบุรี'!I371+'พระนครศรีอยุธยา'!I371+'เพชรบุรี'!I371+'ระยอง'!I371+'ราชบุรี'!I371+'ลพบุรี'!I371+'สระแก้ว'!I371+'สระบุรี'!I371+'สิงห์บุรี'!I371+'สุพรรณบุรี'!I371+'อ่างทอง'!I371</f>
        <v>0</v>
      </c>
      <c r="J371" s="223">
        <f>'กาญจนบุรี'!J371+'จันทบุรี'!J371+'ฉะเชิงเทรา'!J371+'ชลบุรี'!J371+'ชัยนาท'!J371+'ตราด'!J371+'นครนายก'!J371+'นครปฐม'!J371+'ปทุมธานี'!J371+'ประจวบคีรีขันธ์'!J371+'ปราจีนบุรี'!J371+'พระนครศรีอยุธยา'!J371+'เพชรบุรี'!J371+'ระยอง'!J371+'ราชบุรี'!J371+'ลพบุรี'!J371+'สระแก้ว'!J371+'สระบุรี'!J371+'สิงห์บุรี'!J371+'สุพรรณบุรี'!J371+'อ่างทอง'!J371</f>
        <v>0</v>
      </c>
      <c r="K371" s="196">
        <f t="shared" si="46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'กาญจนบุรี'!I372+'จันทบุรี'!I372+'ฉะเชิงเทรา'!I372+'ชลบุรี'!I372+'ชัยนาท'!I372+'ตราด'!I372+'นครนายก'!I372+'นครปฐม'!I372+'ปทุมธานี'!I372+'ประจวบคีรีขันธ์'!I372+'ปราจีนบุรี'!I372+'พระนครศรีอยุธยา'!I372+'เพชรบุรี'!I372+'ระยอง'!I372+'ราชบุรี'!I372+'ลพบุรี'!I372+'สระแก้ว'!I372+'สระบุรี'!I372+'สิงห์บุรี'!I372+'สุพรรณบุรี'!I372+'อ่างทอง'!I372</f>
        <v>292</v>
      </c>
      <c r="J372" s="223">
        <f>'กาญจนบุรี'!J372+'จันทบุรี'!J372+'ฉะเชิงเทรา'!J372+'ชลบุรี'!J372+'ชัยนาท'!J372+'ตราด'!J372+'นครนายก'!J372+'นครปฐม'!J372+'ปทุมธานี'!J372+'ประจวบคีรีขันธ์'!J372+'ปราจีนบุรี'!J372+'พระนครศรีอยุธยา'!J372+'เพชรบุรี'!J372+'ระยอง'!J372+'ราชบุรี'!J372+'ลพบุรี'!J372+'สระแก้ว'!J372+'สระบุรี'!J372+'สิงห์บุรี'!J372+'สุพรรณบุรี'!J372+'อ่างทอง'!J372</f>
        <v>6</v>
      </c>
      <c r="K372" s="196">
        <f t="shared" si="46"/>
        <v>2.054794521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'กาญจนบุรี'!I373+'จันทบุรี'!I373+'ฉะเชิงเทรา'!I373+'ชลบุรี'!I373+'ชัยนาท'!I373+'ตราด'!I373+'นครนายก'!I373+'นครปฐม'!I373+'ปทุมธานี'!I373+'ประจวบคีรีขันธ์'!I373+'ปราจีนบุรี'!I373+'พระนครศรีอยุธยา'!I373+'เพชรบุรี'!I373+'ระยอง'!I373+'ราชบุรี'!I373+'ลพบุรี'!I373+'สระแก้ว'!I373+'สระบุรี'!I373+'สิงห์บุรี'!I373+'สุพรรณบุรี'!I373+'อ่างทอง'!I373</f>
        <v>0</v>
      </c>
      <c r="J373" s="238">
        <f>'กาญจนบุรี'!J373+'จันทบุรี'!J373+'ฉะเชิงเทรา'!J373+'ชลบุรี'!J373+'ชัยนาท'!J373+'ตราด'!J373+'นครนายก'!J373+'นครปฐม'!J373+'ปทุมธานี'!J373+'ประจวบคีรีขันธ์'!J373+'ปราจีนบุรี'!J373+'พระนครศรีอยุธยา'!J373+'เพชรบุรี'!J373+'ระยอง'!J373+'ราชบุรี'!J373+'ลพบุรี'!J373+'สระแก้ว'!J373+'สระบุรี'!J373+'สิงห์บุรี'!J373+'สุพรรณบุรี'!J373+'อ่างทอง'!J373</f>
        <v>0</v>
      </c>
      <c r="K373" s="196">
        <f t="shared" si="46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'กาญจนบุรี'!I374+'จันทบุรี'!I374+'ฉะเชิงเทรา'!I374+'ชลบุรี'!I374+'ชัยนาท'!I374+'ตราด'!I374+'นครนายก'!I374+'นครปฐม'!I374+'ปทุมธานี'!I374+'ประจวบคีรีขันธ์'!I374+'ปราจีนบุรี'!I374+'พระนครศรีอยุธยา'!I374+'เพชรบุรี'!I374+'ระยอง'!I374+'ราชบุรี'!I374+'ลพบุรี'!I374+'สระแก้ว'!I374+'สระบุรี'!I374+'สิงห์บุรี'!I374+'สุพรรณบุรี'!I374+'อ่างทอง'!I374</f>
        <v>0</v>
      </c>
      <c r="J374" s="222">
        <f>'กาญจนบุรี'!J374+'จันทบุรี'!J374+'ฉะเชิงเทรา'!J374+'ชลบุรี'!J374+'ชัยนาท'!J374+'ตราด'!J374+'นครนายก'!J374+'นครปฐม'!J374+'ปทุมธานี'!J374+'ประจวบคีรีขันธ์'!J374+'ปราจีนบุรี'!J374+'พระนครศรีอยุธยา'!J374+'เพชรบุรี'!J374+'ระยอง'!J374+'ราชบุรี'!J374+'ลพบุรี'!J374+'สระแก้ว'!J374+'สระบุรี'!J374+'สิงห์บุรี'!J374+'สุพรรณบุรี'!J374+'อ่างทอง'!J374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'กาญจนบุรี'!I375+'จันทบุรี'!I375+'ฉะเชิงเทรา'!I375+'ชลบุรี'!I375+'ชัยนาท'!I375+'ตราด'!I375+'นครนายก'!I375+'นครปฐม'!I375+'ปทุมธานี'!I375+'ประจวบคีรีขันธ์'!I375+'ปราจีนบุรี'!I375+'พระนครศรีอยุธยา'!I375+'เพชรบุรี'!I375+'ระยอง'!I375+'ราชบุรี'!I375+'ลพบุรี'!I375+'สระแก้ว'!I375+'สระบุรี'!I375+'สิงห์บุรี'!I375+'สุพรรณบุรี'!I375+'อ่างทอง'!I375</f>
        <v>634</v>
      </c>
      <c r="J375" s="222">
        <f>'กาญจนบุรี'!J375+'จันทบุรี'!J375+'ฉะเชิงเทรา'!J375+'ชลบุรี'!J375+'ชัยนาท'!J375+'ตราด'!J375+'นครนายก'!J375+'นครปฐม'!J375+'ปทุมธานี'!J375+'ประจวบคีรีขันธ์'!J375+'ปราจีนบุรี'!J375+'พระนครศรีอยุธยา'!J375+'เพชรบุรี'!J375+'ระยอง'!J375+'ราชบุรี'!J375+'ลพบุรี'!J375+'สระแก้ว'!J375+'สระบุรี'!J375+'สิงห์บุรี'!J375+'สุพรรณบุรี'!J375+'อ่างทอง'!J375</f>
        <v>0</v>
      </c>
      <c r="K375" s="196">
        <f t="shared" ref="K375:K377" si="47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'กาญจนบุรี'!I376+'จันทบุรี'!I376+'ฉะเชิงเทรา'!I376+'ชลบุรี'!I376+'ชัยนาท'!I376+'ตราด'!I376+'นครนายก'!I376+'นครปฐม'!I376+'ปทุมธานี'!I376+'ประจวบคีรีขันธ์'!I376+'ปราจีนบุรี'!I376+'พระนครศรีอยุธยา'!I376+'เพชรบุรี'!I376+'ระยอง'!I376+'ราชบุรี'!I376+'ลพบุรี'!I376+'สระแก้ว'!I376+'สระบุรี'!I376+'สิงห์บุรี'!I376+'สุพรรณบุรี'!I376+'อ่างทอง'!I376</f>
        <v>307</v>
      </c>
      <c r="J376" s="223">
        <f>'กาญจนบุรี'!J376+'จันทบุรี'!J376+'ฉะเชิงเทรา'!J376+'ชลบุรี'!J376+'ชัยนาท'!J376+'ตราด'!J376+'นครนายก'!J376+'นครปฐม'!J376+'ปทุมธานี'!J376+'ประจวบคีรีขันธ์'!J376+'ปราจีนบุรี'!J376+'พระนครศรีอยุธยา'!J376+'เพชรบุรี'!J376+'ระยอง'!J376+'ราชบุรี'!J376+'ลพบุรี'!J376+'สระแก้ว'!J376+'สระบุรี'!J376+'สิงห์บุรี'!J376+'สุพรรณบุรี'!J376+'อ่างทอง'!J376</f>
        <v>0</v>
      </c>
      <c r="K376" s="196">
        <f t="shared" si="47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'กาญจนบุรี'!I377+'จันทบุรี'!I377+'ฉะเชิงเทรา'!I377+'ชลบุรี'!I377+'ชัยนาท'!I377+'ตราด'!I377+'นครนายก'!I377+'นครปฐม'!I377+'ปทุมธานี'!I377+'ประจวบคีรีขันธ์'!I377+'ปราจีนบุรี'!I377+'พระนครศรีอยุธยา'!I377+'เพชรบุรี'!I377+'ระยอง'!I377+'ราชบุรี'!I377+'ลพบุรี'!I377+'สระแก้ว'!I377+'สระบุรี'!I377+'สิงห์บุรี'!I377+'สุพรรณบุรี'!I377+'อ่างทอง'!I377</f>
        <v>327</v>
      </c>
      <c r="J377" s="238">
        <f>'กาญจนบุรี'!J377+'จันทบุรี'!J377+'ฉะเชิงเทรา'!J377+'ชลบุรี'!J377+'ชัยนาท'!J377+'ตราด'!J377+'นครนายก'!J377+'นครปฐม'!J377+'ปทุมธานี'!J377+'ประจวบคีรีขันธ์'!J377+'ปราจีนบุรี'!J377+'พระนครศรีอยุธยา'!J377+'เพชรบุรี'!J377+'ระยอง'!J377+'ราชบุรี'!J377+'ลพบุรี'!J377+'สระแก้ว'!J377+'สระบุรี'!J377+'สิงห์บุรี'!J377+'สุพรรณบุรี'!J377+'อ่างทอง'!J377</f>
        <v>0</v>
      </c>
      <c r="K377" s="196">
        <f t="shared" si="47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'กาญจนบุรี'!J378+'จันทบุรี'!J378+'ฉะเชิงเทรา'!J378+'ชลบุรี'!J378+'ชัยนาท'!J378+'ตราด'!J378+'นครนายก'!J378+'นครปฐม'!J378+'ปทุมธานี'!J378+'ประจวบคีรีขันธ์'!J378+'ปราจีนบุรี'!J378+'พระนครศรีอยุธยา'!J378+'เพชรบุรี'!J378+'ระยอง'!J378+'ราชบุรี'!J378+'ลพบุรี'!J378+'สระแก้ว'!J378+'สระบุรี'!J378+'สิงห์บุรี'!J378+'สุพรรณบุรี'!J378+'อ่างทอง'!J378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'กาญจนบุรี'!J379+'จันทบุรี'!J379+'ฉะเชิงเทรา'!J379+'ชลบุรี'!J379+'ชัยนาท'!J379+'ตราด'!J379+'นครนายก'!J379+'นครปฐม'!J379+'ปทุมธานี'!J379+'ประจวบคีรีขันธ์'!J379+'ปราจีนบุรี'!J379+'พระนครศรีอยุธยา'!J379+'เพชรบุรี'!J379+'ระยอง'!J379+'ราชบุรี'!J379+'ลพบุรี'!J379+'สระแก้ว'!J379+'สระบุรี'!J379+'สิงห์บุรี'!J379+'สุพรรณบุรี'!J379+'อ่างทอง'!J379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'กาญจนบุรี'!I380+'จันทบุรี'!I380+'ฉะเชิงเทรา'!I380+'ชลบุรี'!I380+'ชัยนาท'!I380+'ตราด'!I380+'นครนายก'!I380+'นครปฐม'!I380+'ปทุมธานี'!I380+'ประจวบคีรีขันธ์'!I380+'ปราจีนบุรี'!I380+'พระนครศรีอยุธยา'!I380+'เพชรบุรี'!I380+'ระยอง'!I380+'ราชบุรี'!I380+'ลพบุรี'!I380+'สระแก้ว'!I380+'สระบุรี'!I380+'สิงห์บุรี'!I380+'สุพรรณบุรี'!I380+'อ่างทอง'!I380</f>
        <v>8800</v>
      </c>
      <c r="J380" s="404">
        <f>'กาญจนบุรี'!J380+'จันทบุรี'!J380+'ฉะเชิงเทรา'!J380+'ชลบุรี'!J380+'ชัยนาท'!J380+'ตราด'!J380+'นครนายก'!J380+'นครปฐม'!J380+'ปทุมธานี'!J380+'ประจวบคีรีขันธ์'!J380+'ปราจีนบุรี'!J380+'พระนครศรีอยุธยา'!J380+'เพชรบุรี'!J380+'ระยอง'!J380+'ราชบุรี'!J380+'ลพบุรี'!J380+'สระแก้ว'!J380+'สระบุรี'!J380+'สิงห์บุรี'!J380+'สุพรรณบุรี'!J380+'อ่างทอง'!J380</f>
        <v>0</v>
      </c>
      <c r="K380" s="405">
        <f t="shared" ref="K380:K381" si="48">IF(I380&gt;0,J380*100/I380,0)</f>
        <v>0</v>
      </c>
      <c r="L380" s="406">
        <f>'กาญจนบุรี'!L380+'จันทบุรี'!L380+'ฉะเชิงเทรา'!L380+'ชลบุรี'!L380+'ชัยนาท'!L380+'ตราด'!L380+'นครนายก'!L380+'นครปฐม'!L380+'ปทุมธานี'!L380+'ประจวบคีรีขันธ์'!L380+'ปราจีนบุรี'!L380+'พระนครศรีอยุธยา'!L380+'เพชรบุรี'!L380+'ระยอง'!L380+'ราชบุรี'!L380+'ลพบุรี'!L380+'สระแก้ว'!L380+'สระบุรี'!L380+'สิงห์บุรี'!L380+'สุพรรณบุรี'!L380+'อ่างทอง'!L380</f>
        <v>8972320</v>
      </c>
      <c r="M380" s="406"/>
      <c r="N380" s="406">
        <f>'กาญจนบุรี'!N380+'จันทบุรี'!N380+'ฉะเชิงเทรา'!N380+'ชลบุรี'!N380+'ชัยนาท'!N380+'ตราด'!N380+'นครนายก'!N380+'นครปฐม'!N380+'ปทุมธานี'!N380+'ประจวบคีรีขันธ์'!N380+'ปราจีนบุรี'!N380+'พระนครศรีอยุธยา'!N380+'เพชรบุรี'!N380+'ระยอง'!N380+'ราชบุรี'!N380+'ลพบุรี'!N380+'สระแก้ว'!N380+'สระบุรี'!N380+'สิงห์บุรี'!N380+'สุพรรณบุรี'!N380+'อ่างทอง'!N380</f>
        <v>1043981.457</v>
      </c>
      <c r="O380" s="406">
        <f>+IF(L380&gt;0,N380*100/L380,0)</f>
        <v>11.63557984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'กาญจนบุรี'!I381+'จันทบุรี'!I381+'ฉะเชิงเทรา'!I381+'ชลบุรี'!I381+'ชัยนาท'!I381+'ตราด'!I381+'นครนายก'!I381+'นครปฐม'!I381+'ปทุมธานี'!I381+'ประจวบคีรีขันธ์'!I381+'ปราจีนบุรี'!I381+'พระนครศรีอยุธยา'!I381+'เพชรบุรี'!I381+'ระยอง'!I381+'ราชบุรี'!I381+'ลพบุรี'!I381+'สระแก้ว'!I381+'สระบุรี'!I381+'สิงห์บุรี'!I381+'สุพรรณบุรี'!I381+'อ่างทอง'!I381</f>
        <v>880</v>
      </c>
      <c r="J381" s="404">
        <f>'กาญจนบุรี'!J381+'จันทบุรี'!J381+'ฉะเชิงเทรา'!J381+'ชลบุรี'!J381+'ชัยนาท'!J381+'ตราด'!J381+'นครนายก'!J381+'นครปฐม'!J381+'ปทุมธานี'!J381+'ประจวบคีรีขันธ์'!J381+'ปราจีนบุรี'!J381+'พระนครศรีอยุธยา'!J381+'เพชรบุรี'!J381+'ระยอง'!J381+'ราชบุรี'!J381+'ลพบุรี'!J381+'สระแก้ว'!J381+'สระบุรี'!J381+'สิงห์บุรี'!J381+'สุพรรณบุรี'!J381+'อ่างทอง'!J381</f>
        <v>420</v>
      </c>
      <c r="K381" s="405">
        <f t="shared" si="48"/>
        <v>47.72727273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'กาญจนบุรี'!L382+'จันทบุรี'!L382+'ฉะเชิงเทรา'!L382+'ชลบุรี'!L382+'ชัยนาท'!L382+'ตราด'!L382+'นครนายก'!L382+'นครปฐม'!L382+'ปทุมธานี'!L382+'ประจวบคีรีขันธ์'!L382+'ปราจีนบุรี'!L382+'พระนครศรีอยุธยา'!L382+'เพชรบุรี'!L382+'ระยอง'!L382+'ราชบุรี'!L382+'ลพบุรี'!L382+'สระแก้ว'!L382+'สระบุรี'!L382+'สิงห์บุรี'!L382+'สุพรรณบุรี'!L382+'อ่างทอง'!L382</f>
        <v>0</v>
      </c>
      <c r="M382" s="197"/>
      <c r="N382" s="197">
        <f>'กาญจนบุรี'!N382+'จันทบุรี'!N382+'ฉะเชิงเทรา'!N382+'ชลบุรี'!N382+'ชัยนาท'!N382+'ตราด'!N382+'นครนายก'!N382+'นครปฐม'!N382+'ปทุมธานี'!N382+'ประจวบคีรีขันธ์'!N382+'ปราจีนบุรี'!N382+'พระนครศรีอยุธยา'!N382+'เพชรบุรี'!N382+'ระยอง'!N382+'ราชบุรี'!N382+'ลพบุรี'!N382+'สระแก้ว'!N382+'สระบุรี'!N382+'สิงห์บุรี'!N382+'สุพรรณบุรี'!N382+'อ่างทอง'!N382</f>
        <v>0</v>
      </c>
      <c r="O382" s="198">
        <f t="shared" ref="O382:O385" si="49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'กาญจนบุรี'!L383+'จันทบุรี'!L383+'ฉะเชิงเทรา'!L383+'ชลบุรี'!L383+'ชัยนาท'!L383+'ตราด'!L383+'นครนายก'!L383+'นครปฐม'!L383+'ปทุมธานี'!L383+'ประจวบคีรีขันธ์'!L383+'ปราจีนบุรี'!L383+'พระนครศรีอยุธยา'!L383+'เพชรบุรี'!L383+'ระยอง'!L383+'ราชบุรี'!L383+'ลพบุรี'!L383+'สระแก้ว'!L383+'สระบุรี'!L383+'สิงห์บุรี'!L383+'สุพรรณบุรี'!L383+'อ่างทอง'!L383</f>
        <v>8972320</v>
      </c>
      <c r="M383" s="198"/>
      <c r="N383" s="198">
        <f>'กาญจนบุรี'!N383+'จันทบุรี'!N383+'ฉะเชิงเทรา'!N383+'ชลบุรี'!N383+'ชัยนาท'!N383+'ตราด'!N383+'นครนายก'!N383+'นครปฐม'!N383+'ปทุมธานี'!N383+'ประจวบคีรีขันธ์'!N383+'ปราจีนบุรี'!N383+'พระนครศรีอยุธยา'!N383+'เพชรบุรี'!N383+'ระยอง'!N383+'ราชบุรี'!N383+'ลพบุรี'!N383+'สระแก้ว'!N383+'สระบุรี'!N383+'สิงห์บุรี'!N383+'สุพรรณบุรี'!N383+'อ่างทอง'!N383</f>
        <v>1043981.457</v>
      </c>
      <c r="O383" s="198">
        <f t="shared" si="49"/>
        <v>11.63557984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'กาญจนบุรี'!L384+'จันทบุรี'!L384+'ฉะเชิงเทรา'!L384+'ชลบุรี'!L384+'ชัยนาท'!L384+'ตราด'!L384+'นครนายก'!L384+'นครปฐม'!L384+'ปทุมธานี'!L384+'ประจวบคีรีขันธ์'!L384+'ปราจีนบุรี'!L384+'พระนครศรีอยุธยา'!L384+'เพชรบุรี'!L384+'ระยอง'!L384+'ราชบุรี'!L384+'ลพบุรี'!L384+'สระแก้ว'!L384+'สระบุรี'!L384+'สิงห์บุรี'!L384+'สุพรรณบุรี'!L384+'อ่างทอง'!L384</f>
        <v>0</v>
      </c>
      <c r="M384" s="203"/>
      <c r="N384" s="203">
        <f>'กาญจนบุรี'!N384+'จันทบุรี'!N384+'ฉะเชิงเทรา'!N384+'ชลบุรี'!N384+'ชัยนาท'!N384+'ตราด'!N384+'นครนายก'!N384+'นครปฐม'!N384+'ปทุมธานี'!N384+'ประจวบคีรีขันธ์'!N384+'ปราจีนบุรี'!N384+'พระนครศรีอยุธยา'!N384+'เพชรบุรี'!N384+'ระยอง'!N384+'ราชบุรี'!N384+'ลพบุรี'!N384+'สระแก้ว'!N384+'สระบุรี'!N384+'สิงห์บุรี'!N384+'สุพรรณบุรี'!N384+'อ่างทอง'!N384</f>
        <v>0</v>
      </c>
      <c r="O384" s="203">
        <f t="shared" si="49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'กาญจนบุรี'!L385+'จันทบุรี'!L385+'ฉะเชิงเทรา'!L385+'ชลบุรี'!L385+'ชัยนาท'!L385+'ตราด'!L385+'นครนายก'!L385+'นครปฐม'!L385+'ปทุมธานี'!L385+'ประจวบคีรีขันธ์'!L385+'ปราจีนบุรี'!L385+'พระนครศรีอยุธยา'!L385+'เพชรบุรี'!L385+'ระยอง'!L385+'ราชบุรี'!L385+'ลพบุรี'!L385+'สระแก้ว'!L385+'สระบุรี'!L385+'สิงห์บุรี'!L385+'สุพรรณบุรี'!L385+'อ่างทอง'!L385</f>
        <v>8972320</v>
      </c>
      <c r="M385" s="203"/>
      <c r="N385" s="200">
        <f>'กาญจนบุรี'!N385+'จันทบุรี'!N385+'ฉะเชิงเทรา'!N385+'ชลบุรี'!N385+'ชัยนาท'!N385+'ตราด'!N385+'นครนายก'!N385+'นครปฐม'!N385+'ปทุมธานี'!N385+'ประจวบคีรีขันธ์'!N385+'ปราจีนบุรี'!N385+'พระนครศรีอยุธยา'!N385+'เพชรบุรี'!N385+'ระยอง'!N385+'ราชบุรี'!N385+'ลพบุรี'!N385+'สระแก้ว'!N385+'สระบุรี'!N385+'สิงห์บุรี'!N385+'สุพรรณบุรี'!N385+'อ่างทอง'!N385</f>
        <v>1043981.457</v>
      </c>
      <c r="O385" s="203">
        <f t="shared" si="49"/>
        <v>11.63557984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'กาญจนบุรี'!N386+'จันทบุรี'!N386+'ฉะเชิงเทรา'!N386+'ชลบุรี'!N386+'ชัยนาท'!N386+'ตราด'!N386+'นครนายก'!N386+'นครปฐม'!N386+'ปทุมธานี'!N386+'ประจวบคีรีขันธ์'!N386+'ปราจีนบุรี'!N386+'พระนครศรีอยุธยา'!N386+'เพชรบุรี'!N386+'ระยอง'!N386+'ราชบุรี'!N386+'ลพบุรี'!N386+'สระแก้ว'!N386+'สระบุรี'!N386+'สิงห์บุรี'!N386+'สุพรรณบุรี'!N386+'อ่างทอง'!N386</f>
        <v>821554.5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'กาญจนบุรี'!N387+'จันทบุรี'!N387+'ฉะเชิงเทรา'!N387+'ชลบุรี'!N387+'ชัยนาท'!N387+'ตราด'!N387+'นครนายก'!N387+'นครปฐม'!N387+'ปทุมธานี'!N387+'ประจวบคีรีขันธ์'!N387+'ปราจีนบุรี'!N387+'พระนครศรีอยุธยา'!N387+'เพชรบุรี'!N387+'ระยอง'!N387+'ราชบุรี'!N387+'ลพบุรี'!N387+'สระแก้ว'!N387+'สระบุรี'!N387+'สิงห์บุรี'!N387+'สุพรรณบุรี'!N387+'อ่างทอง'!N387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'กาญจนบุรี'!N388+'จันทบุรี'!N388+'ฉะเชิงเทรา'!N388+'ชลบุรี'!N388+'ชัยนาท'!N388+'ตราด'!N388+'นครนายก'!N388+'นครปฐม'!N388+'ปทุมธานี'!N388+'ประจวบคีรีขันธ์'!N388+'ปราจีนบุรี'!N388+'พระนครศรีอยุธยา'!N388+'เพชรบุรี'!N388+'ระยอง'!N388+'ราชบุรี'!N388+'ลพบุรี'!N388+'สระแก้ว'!N388+'สระบุรี'!N388+'สิงห์บุรี'!N388+'สุพรรณบุรี'!N388+'อ่างทอง'!N388</f>
        <v>141301.58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'กาญจนบุรี'!N389+'จันทบุรี'!N389+'ฉะเชิงเทรา'!N389+'ชลบุรี'!N389+'ชัยนาท'!N389+'ตราด'!N389+'นครนายก'!N389+'นครปฐม'!N389+'ปทุมธานี'!N389+'ประจวบคีรีขันธ์'!N389+'ปราจีนบุรี'!N389+'พระนครศรีอยุธยา'!N389+'เพชรบุรี'!N389+'ระยอง'!N389+'ราชบุรี'!N389+'ลพบุรี'!N389+'สระแก้ว'!N389+'สระบุรี'!N389+'สิงห์บุรี'!N389+'สุพรรณบุรี'!N389+'อ่างทอง'!N389</f>
        <v>81125.377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'กาญจนบุรี'!J391+'จันทบุรี'!J391+'ฉะเชิงเทรา'!J391+'ชลบุรี'!J391+'ชัยนาท'!J391+'ตราด'!J391+'นครนายก'!J391+'นครปฐม'!J391+'ปทุมธานี'!J391+'ประจวบคีรีขันธ์'!J391+'ปราจีนบุรี'!J391+'พระนครศรีอยุธยา'!J391+'เพชรบุรี'!J391+'ระยอง'!J391+'ราชบุรี'!J391+'ลพบุรี'!J391+'สระแก้ว'!J391+'สระบุรี'!J391+'สิงห์บุรี'!J391+'สุพรรณบุรี'!J391+'อ่างทอง'!J391</f>
        <v>2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'กาญจนบุรี'!J392+'จันทบุรี'!J392+'ฉะเชิงเทรา'!J392+'ชลบุรี'!J392+'ชัยนาท'!J392+'ตราด'!J392+'นครนายก'!J392+'นครปฐม'!J392+'ปทุมธานี'!J392+'ประจวบคีรีขันธ์'!J392+'ปราจีนบุรี'!J392+'พระนครศรีอยุธยา'!J392+'เพชรบุรี'!J392+'ระยอง'!J392+'ราชบุรี'!J392+'ลพบุรี'!J392+'สระแก้ว'!J392+'สระบุรี'!J392+'สิงห์บุรี'!J392+'สุพรรณบุรี'!J392+'อ่างทอง'!J392</f>
        <v>14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'กาญจนบุรี'!J393+'จันทบุรี'!J393+'ฉะเชิงเทรา'!J393+'ชลบุรี'!J393+'ชัยนาท'!J393+'ตราด'!J393+'นครนายก'!J393+'นครปฐม'!J393+'ปทุมธานี'!J393+'ประจวบคีรีขันธ์'!J393+'ปราจีนบุรี'!J393+'พระนครศรีอยุธยา'!J393+'เพชรบุรี'!J393+'ระยอง'!J393+'ราชบุรี'!J393+'ลพบุรี'!J393+'สระแก้ว'!J393+'สระบุรี'!J393+'สิงห์บุรี'!J393+'สุพรรณบุรี'!J393+'อ่างทอง'!J393</f>
        <v>13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'กาญจนบุรี'!J394+'จันทบุรี'!J394+'ฉะเชิงเทรา'!J394+'ชลบุรี'!J394+'ชัยนาท'!J394+'ตราด'!J394+'นครนายก'!J394+'นครปฐม'!J394+'ปทุมธานี'!J394+'ประจวบคีรีขันธ์'!J394+'ปราจีนบุรี'!J394+'พระนครศรีอยุธยา'!J394+'เพชรบุรี'!J394+'ระยอง'!J394+'ราชบุรี'!J394+'ลพบุรี'!J394+'สระแก้ว'!J394+'สระบุรี'!J394+'สิงห์บุรี'!J394+'สุพรรณบุรี'!J394+'อ่างทอง'!J394</f>
        <v>10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'กาญจนบุรี'!I396+'จันทบุรี'!I396+'ฉะเชิงเทรา'!I396+'ชลบุรี'!I396+'ชัยนาท'!I396+'ตราด'!I396+'นครนายก'!I396+'นครปฐม'!I396+'ปทุมธานี'!I396+'ประจวบคีรีขันธ์'!I396+'ปราจีนบุรี'!I396+'พระนครศรีอยุธยา'!I396+'เพชรบุรี'!I396+'ระยอง'!I396+'ราชบุรี'!I396+'ลพบุรี'!I396+'สระแก้ว'!I396+'สระบุรี'!I396+'สิงห์บุรี'!I396+'สุพรรณบุรี'!I396+'อ่างทอง'!I396</f>
        <v>880</v>
      </c>
      <c r="J396" s="232">
        <f>'กาญจนบุรี'!J396+'จันทบุรี'!J396+'ฉะเชิงเทรา'!J396+'ชลบุรี'!J396+'ชัยนาท'!J396+'ตราด'!J396+'นครนายก'!J396+'นครปฐม'!J396+'ปทุมธานี'!J396+'ประจวบคีรีขันธ์'!J396+'ปราจีนบุรี'!J396+'พระนครศรีอยุธยา'!J396+'เพชรบุรี'!J396+'ระยอง'!J396+'ราชบุรี'!J396+'ลพบุรี'!J396+'สระแก้ว'!J396+'สระบุรี'!J396+'สิงห์บุรี'!J396+'สุพรรณบุรี'!J396+'อ่างทอง'!J396</f>
        <v>420</v>
      </c>
      <c r="K396" s="196">
        <f t="shared" ref="K396:K398" si="50">IF(I396&gt;0,J396*100/I396,0)</f>
        <v>47.72727273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'กาญจนบุรี'!I397+'จันทบุรี'!I397+'ฉะเชิงเทรา'!I397+'ชลบุรี'!I397+'ชัยนาท'!I397+'ตราด'!I397+'นครนายก'!I397+'นครปฐม'!I397+'ปทุมธานี'!I397+'ประจวบคีรีขันธ์'!I397+'ปราจีนบุรี'!I397+'พระนครศรีอยุธยา'!I397+'เพชรบุรี'!I397+'ระยอง'!I397+'ราชบุรี'!I397+'ลพบุรี'!I397+'สระแก้ว'!I397+'สระบุรี'!I397+'สิงห์บุรี'!I397+'สุพรรณบุรี'!I397+'อ่างทอง'!I397</f>
        <v>8800</v>
      </c>
      <c r="J397" s="232">
        <f>'กาญจนบุรี'!J397+'จันทบุรี'!J397+'ฉะเชิงเทรา'!J397+'ชลบุรี'!J397+'ชัยนาท'!J397+'ตราด'!J397+'นครนายก'!J397+'นครปฐม'!J397+'ปทุมธานี'!J397+'ประจวบคีรีขันธ์'!J397+'ปราจีนบุรี'!J397+'พระนครศรีอยุธยา'!J397+'เพชรบุรี'!J397+'ระยอง'!J397+'ราชบุรี'!J397+'ลพบุรี'!J397+'สระแก้ว'!J397+'สระบุรี'!J397+'สิงห์บุรี'!J397+'สุพรรณบุรี'!J397+'อ่างทอง'!J397</f>
        <v>0</v>
      </c>
      <c r="K397" s="196">
        <f t="shared" si="50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'กาญจนบุรี'!I398+'จันทบุรี'!I398+'ฉะเชิงเทรา'!I398+'ชลบุรี'!I398+'ชัยนาท'!I398+'ตราด'!I398+'นครนายก'!I398+'นครปฐม'!I398+'ปทุมธานี'!I398+'ประจวบคีรีขันธ์'!I398+'ปราจีนบุรี'!I398+'พระนครศรีอยุธยา'!I398+'เพชรบุรี'!I398+'ระยอง'!I398+'ราชบุรี'!I398+'ลพบุรี'!I398+'สระแก้ว'!I398+'สระบุรี'!I398+'สิงห์บุรี'!I398+'สุพรรณบุรี'!I398+'อ่างทอง'!I398</f>
        <v>880</v>
      </c>
      <c r="J398" s="232">
        <f>'กาญจนบุรี'!J398+'จันทบุรี'!J398+'ฉะเชิงเทรา'!J398+'ชลบุรี'!J398+'ชัยนาท'!J398+'ตราด'!J398+'นครนายก'!J398+'นครปฐม'!J398+'ปทุมธานี'!J398+'ประจวบคีรีขันธ์'!J398+'ปราจีนบุรี'!J398+'พระนครศรีอยุธยา'!J398+'เพชรบุรี'!J398+'ระยอง'!J398+'ราชบุรี'!J398+'ลพบุรี'!J398+'สระแก้ว'!J398+'สระบุรี'!J398+'สิงห์บุรี'!J398+'สุพรรณบุรี'!J398+'อ่างทอง'!J398</f>
        <v>0</v>
      </c>
      <c r="K398" s="196">
        <f t="shared" si="50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'กาญจนบุรี'!J399+'จันทบุรี'!J399+'ฉะเชิงเทรา'!J399+'ชลบุรี'!J399+'ชัยนาท'!J399+'ตราด'!J399+'นครนายก'!J399+'นครปฐม'!J399+'ปทุมธานี'!J399+'ประจวบคีรีขันธ์'!J399+'ปราจีนบุรี'!J399+'พระนครศรีอยุธยา'!J399+'เพชรบุรี'!J399+'ระยอง'!J399+'ราชบุรี'!J399+'ลพบุรี'!J399+'สระแก้ว'!J399+'สระบุรี'!J399+'สิงห์บุรี'!J399+'สุพรรณบุรี'!J399+'อ่างทอง'!J399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'กาญจนบุรี'!J400+'จันทบุรี'!J400+'ฉะเชิงเทรา'!J400+'ชลบุรี'!J400+'ชัยนาท'!J400+'ตราด'!J400+'นครนายก'!J400+'นครปฐม'!J400+'ปทุมธานี'!J400+'ประจวบคีรีขันธ์'!J400+'ปราจีนบุรี'!J400+'พระนครศรีอยุธยา'!J400+'เพชรบุรี'!J400+'ระยอง'!J400+'ราชบุรี'!J400+'ลพบุรี'!J400+'สระแก้ว'!J400+'สระบุรี'!J400+'สิงห์บุรี'!J400+'สุพรรณบุรี'!J400+'อ่างทอง'!J400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'กาญจนบุรี'!I401+'จันทบุรี'!I401+'ฉะเชิงเทรา'!I401+'ชลบุรี'!I401+'ชัยนาท'!I401+'ตราด'!I401+'นครนายก'!I401+'นครปฐม'!I401+'ปทุมธานี'!I401+'ประจวบคีรีขันธ์'!I401+'ปราจีนบุรี'!I401+'พระนครศรีอยุธยา'!I401+'เพชรบุรี'!I401+'ระยอง'!I401+'ราชบุรี'!I401+'ลพบุรี'!I401+'สระแก้ว'!I401+'สระบุรี'!I401+'สิงห์บุรี'!I401+'สุพรรณบุรี'!I401+'อ่างทอง'!I401</f>
        <v>3015</v>
      </c>
      <c r="J401" s="404">
        <f>'กาญจนบุรี'!J401+'จันทบุรี'!J401+'ฉะเชิงเทรา'!J401+'ชลบุรี'!J401+'ชัยนาท'!J401+'ตราด'!J401+'นครนายก'!J401+'นครปฐม'!J401+'ปทุมธานี'!J401+'ประจวบคีรีขันธ์'!J401+'ปราจีนบุรี'!J401+'พระนครศรีอยุธยา'!J401+'เพชรบุรี'!J401+'ระยอง'!J401+'ราชบุรี'!J401+'ลพบุรี'!J401+'สระแก้ว'!J401+'สระบุรี'!J401+'สิงห์บุรี'!J401+'สุพรรณบุรี'!J401+'อ่างทอง'!J401</f>
        <v>60</v>
      </c>
      <c r="K401" s="405">
        <f t="shared" ref="K401:K402" si="51">IF(I401&gt;0,J401*100/I401,0)</f>
        <v>1.990049751</v>
      </c>
      <c r="L401" s="406">
        <f>'กาญจนบุรี'!L401+'จันทบุรี'!L401+'ฉะเชิงเทรา'!L401+'ชลบุรี'!L401+'ชัยนาท'!L401+'ตราด'!L401+'นครนายก'!L401+'นครปฐม'!L401+'ปทุมธานี'!L401+'ประจวบคีรีขันธ์'!L401+'ปราจีนบุรี'!L401+'พระนครศรีอยุธยา'!L401+'เพชรบุรี'!L401+'ระยอง'!L401+'ราชบุรี'!L401+'ลพบุรี'!L401+'สระแก้ว'!L401+'สระบุรี'!L401+'สิงห์บุรี'!L401+'สุพรรณบุรี'!L401+'อ่างทอง'!L401</f>
        <v>3392750</v>
      </c>
      <c r="M401" s="406"/>
      <c r="N401" s="406">
        <f>'กาญจนบุรี'!N401+'จันทบุรี'!N401+'ฉะเชิงเทรา'!N401+'ชลบุรี'!N401+'ชัยนาท'!N401+'ตราด'!N401+'นครนายก'!N401+'นครปฐม'!N401+'ปทุมธานี'!N401+'ประจวบคีรีขันธ์'!N401+'ปราจีนบุรี'!N401+'พระนครศรีอยุธยา'!N401+'เพชรบุรี'!N401+'ระยอง'!N401+'ราชบุรี'!N401+'ลพบุรี'!N401+'สระแก้ว'!N401+'สระบุรี'!N401+'สิงห์บุรี'!N401+'สุพรรณบุรี'!N401+'อ่างทอง'!N401</f>
        <v>437649.72</v>
      </c>
      <c r="O401" s="406">
        <f>+IF(L401&gt;0,N401*100/L401,0)</f>
        <v>12.899557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'กาญจนบุรี'!I402+'จันทบุรี'!I402+'ฉะเชิงเทรา'!I402+'ชลบุรี'!I402+'ชัยนาท'!I402+'ตราด'!I402+'นครนายก'!I402+'นครปฐม'!I402+'ปทุมธานี'!I402+'ประจวบคีรีขันธ์'!I402+'ปราจีนบุรี'!I402+'พระนครศรีอยุธยา'!I402+'เพชรบุรี'!I402+'ระยอง'!I402+'ราชบุรี'!I402+'ลพบุรี'!I402+'สระแก้ว'!I402+'สระบุรี'!I402+'สิงห์บุรี'!I402+'สุพรรณบุรี'!I402+'อ่างทอง'!I402</f>
        <v>1005</v>
      </c>
      <c r="J402" s="404">
        <f>'กาญจนบุรี'!J402+'จันทบุรี'!J402+'ฉะเชิงเทรา'!J402+'ชลบุรี'!J402+'ชัยนาท'!J402+'ตราด'!J402+'นครนายก'!J402+'นครปฐม'!J402+'ปทุมธานี'!J402+'ประจวบคีรีขันธ์'!J402+'ปราจีนบุรี'!J402+'พระนครศรีอยุธยา'!J402+'เพชรบุรี'!J402+'ระยอง'!J402+'ราชบุรี'!J402+'ลพบุรี'!J402+'สระแก้ว'!J402+'สระบุรี'!J402+'สิงห์บุรี'!J402+'สุพรรณบุรี'!J402+'อ่างทอง'!J402</f>
        <v>80</v>
      </c>
      <c r="K402" s="405">
        <f t="shared" si="51"/>
        <v>7.960199005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'กาญจนบุรี'!L403+'จันทบุรี'!L403+'ฉะเชิงเทรา'!L403+'ชลบุรี'!L403+'ชัยนาท'!L403+'ตราด'!L403+'นครนายก'!L403+'นครปฐม'!L403+'ปทุมธานี'!L403+'ประจวบคีรีขันธ์'!L403+'ปราจีนบุรี'!L403+'พระนครศรีอยุธยา'!L403+'เพชรบุรี'!L403+'ระยอง'!L403+'ราชบุรี'!L403+'ลพบุรี'!L403+'สระแก้ว'!L403+'สระบุรี'!L403+'สิงห์บุรี'!L403+'สุพรรณบุรี'!L403+'อ่างทอง'!L403</f>
        <v>0</v>
      </c>
      <c r="M403" s="197"/>
      <c r="N403" s="203">
        <f>'กาญจนบุรี'!N403+'จันทบุรี'!N403+'ฉะเชิงเทรา'!N403+'ชลบุรี'!N403+'ชัยนาท'!N403+'ตราด'!N403+'นครนายก'!N403+'นครปฐม'!N403+'ปทุมธานี'!N403+'ประจวบคีรีขันธ์'!N403+'ปราจีนบุรี'!N403+'พระนครศรีอยุธยา'!N403+'เพชรบุรี'!N403+'ระยอง'!N403+'ราชบุรี'!N403+'ลพบุรี'!N403+'สระแก้ว'!N403+'สระบุรี'!N403+'สิงห์บุรี'!N403+'สุพรรณบุรี'!N403+'อ่างทอง'!N403</f>
        <v>0</v>
      </c>
      <c r="O403" s="203">
        <f t="shared" ref="O403:O406" si="52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'กาญจนบุรี'!L404+'จันทบุรี'!L404+'ฉะเชิงเทรา'!L404+'ชลบุรี'!L404+'ชัยนาท'!L404+'ตราด'!L404+'นครนายก'!L404+'นครปฐม'!L404+'ปทุมธานี'!L404+'ประจวบคีรีขันธ์'!L404+'ปราจีนบุรี'!L404+'พระนครศรีอยุธยา'!L404+'เพชรบุรี'!L404+'ระยอง'!L404+'ราชบุรี'!L404+'ลพบุรี'!L404+'สระแก้ว'!L404+'สระบุรี'!L404+'สิงห์บุรี'!L404+'สุพรรณบุรี'!L404+'อ่างทอง'!L404</f>
        <v>3392750</v>
      </c>
      <c r="M404" s="198"/>
      <c r="N404" s="203">
        <f>'กาญจนบุรี'!N404+'จันทบุรี'!N404+'ฉะเชิงเทรา'!N404+'ชลบุรี'!N404+'ชัยนาท'!N404+'ตราด'!N404+'นครนายก'!N404+'นครปฐม'!N404+'ปทุมธานี'!N404+'ประจวบคีรีขันธ์'!N404+'ปราจีนบุรี'!N404+'พระนครศรีอยุธยา'!N404+'เพชรบุรี'!N404+'ระยอง'!N404+'ราชบุรี'!N404+'ลพบุรี'!N404+'สระแก้ว'!N404+'สระบุรี'!N404+'สิงห์บุรี'!N404+'สุพรรณบุรี'!N404+'อ่างทอง'!N404</f>
        <v>437649.72</v>
      </c>
      <c r="O404" s="203">
        <f t="shared" si="52"/>
        <v>12.899557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'กาญจนบุรี'!L405+'จันทบุรี'!L405+'ฉะเชิงเทรา'!L405+'ชลบุรี'!L405+'ชัยนาท'!L405+'ตราด'!L405+'นครนายก'!L405+'นครปฐม'!L405+'ปทุมธานี'!L405+'ประจวบคีรีขันธ์'!L405+'ปราจีนบุรี'!L405+'พระนครศรีอยุธยา'!L405+'เพชรบุรี'!L405+'ระยอง'!L405+'ราชบุรี'!L405+'ลพบุรี'!L405+'สระแก้ว'!L405+'สระบุรี'!L405+'สิงห์บุรี'!L405+'สุพรรณบุรี'!L405+'อ่างทอง'!L405</f>
        <v>0</v>
      </c>
      <c r="M405" s="203"/>
      <c r="N405" s="203">
        <f>'กาญจนบุรี'!N405+'จันทบุรี'!N405+'ฉะเชิงเทรา'!N405+'ชลบุรี'!N405+'ชัยนาท'!N405+'ตราด'!N405+'นครนายก'!N405+'นครปฐม'!N405+'ปทุมธานี'!N405+'ประจวบคีรีขันธ์'!N405+'ปราจีนบุรี'!N405+'พระนครศรีอยุธยา'!N405+'เพชรบุรี'!N405+'ระยอง'!N405+'ราชบุรี'!N405+'ลพบุรี'!N405+'สระแก้ว'!N405+'สระบุรี'!N405+'สิงห์บุรี'!N405+'สุพรรณบุรี'!N405+'อ่างทอง'!N405</f>
        <v>0</v>
      </c>
      <c r="O405" s="203">
        <f t="shared" si="52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'กาญจนบุรี'!L406+'จันทบุรี'!L406+'ฉะเชิงเทรา'!L406+'ชลบุรี'!L406+'ชัยนาท'!L406+'ตราด'!L406+'นครนายก'!L406+'นครปฐม'!L406+'ปทุมธานี'!L406+'ประจวบคีรีขันธ์'!L406+'ปราจีนบุรี'!L406+'พระนครศรีอยุธยา'!L406+'เพชรบุรี'!L406+'ระยอง'!L406+'ราชบุรี'!L406+'ลพบุรี'!L406+'สระแก้ว'!L406+'สระบุรี'!L406+'สิงห์บุรี'!L406+'สุพรรณบุรี'!L406+'อ่างทอง'!L406</f>
        <v>3392750</v>
      </c>
      <c r="M406" s="203"/>
      <c r="N406" s="203">
        <f>'กาญจนบุรี'!N406+'จันทบุรี'!N406+'ฉะเชิงเทรา'!N406+'ชลบุรี'!N406+'ชัยนาท'!N406+'ตราด'!N406+'นครนายก'!N406+'นครปฐม'!N406+'ปทุมธานี'!N406+'ประจวบคีรีขันธ์'!N406+'ปราจีนบุรี'!N406+'พระนครศรีอยุธยา'!N406+'เพชรบุรี'!N406+'ระยอง'!N406+'ราชบุรี'!N406+'ลพบุรี'!N406+'สระแก้ว'!N406+'สระบุรี'!N406+'สิงห์บุรี'!N406+'สุพรรณบุรี'!N406+'อ่างทอง'!N406</f>
        <v>437649.72</v>
      </c>
      <c r="O406" s="203">
        <f t="shared" si="52"/>
        <v>12.899557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'กาญจนบุรี'!N407+'จันทบุรี'!N407+'ฉะเชิงเทรา'!N407+'ชลบุรี'!N407+'ชัยนาท'!N407+'ตราด'!N407+'นครนายก'!N407+'นครปฐม'!N407+'ปทุมธานี'!N407+'ประจวบคีรีขันธ์'!N407+'ปราจีนบุรี'!N407+'พระนครศรีอยุธยา'!N407+'เพชรบุรี'!N407+'ระยอง'!N407+'ราชบุรี'!N407+'ลพบุรี'!N407+'สระแก้ว'!N407+'สระบุรี'!N407+'สิงห์บุรี'!N407+'สุพรรณบุรี'!N407+'อ่างทอง'!N407</f>
        <v>305195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'กาญจนบุรี'!N408+'จันทบุรี'!N408+'ฉะเชิงเทรา'!N408+'ชลบุรี'!N408+'ชัยนาท'!N408+'ตราด'!N408+'นครนายก'!N408+'นครปฐม'!N408+'ปทุมธานี'!N408+'ประจวบคีรีขันธ์'!N408+'ปราจีนบุรี'!N408+'พระนครศรีอยุธยา'!N408+'เพชรบุรี'!N408+'ระยอง'!N408+'ราชบุรี'!N408+'ลพบุรี'!N408+'สระแก้ว'!N408+'สระบุรี'!N408+'สิงห์บุรี'!N408+'สุพรรณบุรี'!N408+'อ่างทอง'!N408</f>
        <v>90000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'กาญจนบุรี'!N409+'จันทบุรี'!N409+'ฉะเชิงเทรา'!N409+'ชลบุรี'!N409+'ชัยนาท'!N409+'ตราด'!N409+'นครนายก'!N409+'นครปฐม'!N409+'ปทุมธานี'!N409+'ประจวบคีรีขันธ์'!N409+'ปราจีนบุรี'!N409+'พระนครศรีอยุธยา'!N409+'เพชรบุรี'!N409+'ระยอง'!N409+'ราชบุรี'!N409+'ลพบุรี'!N409+'สระแก้ว'!N409+'สระบุรี'!N409+'สิงห์บุรี'!N409+'สุพรรณบุรี'!N409+'อ่างทอง'!N409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'กาญจนบุรี'!N410+'จันทบุรี'!N410+'ฉะเชิงเทรา'!N410+'ชลบุรี'!N410+'ชัยนาท'!N410+'ตราด'!N410+'นครนายก'!N410+'นครปฐม'!N410+'ปทุมธานี'!N410+'ประจวบคีรีขันธ์'!N410+'ปราจีนบุรี'!N410+'พระนครศรีอยุธยา'!N410+'เพชรบุรี'!N410+'ระยอง'!N410+'ราชบุรี'!N410+'ลพบุรี'!N410+'สระแก้ว'!N410+'สระบุรี'!N410+'สิงห์บุรี'!N410+'สุพรรณบุรี'!N410+'อ่างทอง'!N410</f>
        <v>42454.72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'กาญจนบุรี'!J412+'จันทบุรี'!J412+'ฉะเชิงเทรา'!J412+'ชลบุรี'!J412+'ชัยนาท'!J412+'ตราด'!J412+'นครนายก'!J412+'นครปฐม'!J412+'ปทุมธานี'!J412+'ประจวบคีรีขันธ์'!J412+'ปราจีนบุรี'!J412+'พระนครศรีอยุธยา'!J412+'เพชรบุรี'!J412+'ระยอง'!J412+'ราชบุรี'!J412+'ลพบุรี'!J412+'สระแก้ว'!J412+'สระบุรี'!J412+'สิงห์บุรี'!J412+'สุพรรณบุรี'!J412+'อ่างทอง'!J412</f>
        <v>5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'กาญจนบุรี'!J413+'จันทบุรี'!J413+'ฉะเชิงเทรา'!J413+'ชลบุรี'!J413+'ชัยนาท'!J413+'ตราด'!J413+'นครนายก'!J413+'นครปฐม'!J413+'ปทุมธานี'!J413+'ประจวบคีรีขันธ์'!J413+'ปราจีนบุรี'!J413+'พระนครศรีอยุธยา'!J413+'เพชรบุรี'!J413+'ระยอง'!J413+'ราชบุรี'!J413+'ลพบุรี'!J413+'สระแก้ว'!J413+'สระบุรี'!J413+'สิงห์บุรี'!J413+'สุพรรณบุรี'!J413+'อ่างทอง'!J413</f>
        <v>17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'กาญจนบุรี'!J414+'จันทบุรี'!J414+'ฉะเชิงเทรา'!J414+'ชลบุรี'!J414+'ชัยนาท'!J414+'ตราด'!J414+'นครนายก'!J414+'นครปฐม'!J414+'ปทุมธานี'!J414+'ประจวบคีรีขันธ์'!J414+'ปราจีนบุรี'!J414+'พระนครศรีอยุธยา'!J414+'เพชรบุรี'!J414+'ระยอง'!J414+'ราชบุรี'!J414+'ลพบุรี'!J414+'สระแก้ว'!J414+'สระบุรี'!J414+'สิงห์บุรี'!J414+'สุพรรณบุรี'!J414+'อ่างทอง'!J414</f>
        <v>12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'กาญจนบุรี'!J415+'จันทบุรี'!J415+'ฉะเชิงเทรา'!J415+'ชลบุรี'!J415+'ชัยนาท'!J415+'ตราด'!J415+'นครนายก'!J415+'นครปฐม'!J415+'ปทุมธานี'!J415+'ประจวบคีรีขันธ์'!J415+'ปราจีนบุรี'!J415+'พระนครศรีอยุธยา'!J415+'เพชรบุรี'!J415+'ระยอง'!J415+'ราชบุรี'!J415+'ลพบุรี'!J415+'สระแก้ว'!J415+'สระบุรี'!J415+'สิงห์บุรี'!J415+'สุพรรณบุรี'!J415+'อ่างทอง'!J415</f>
        <v>8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'กาญจนบุรี'!I416+'จันทบุรี'!I416+'ฉะเชิงเทรา'!I416+'ชลบุรี'!I416+'ชัยนาท'!I416+'ตราด'!I416+'นครนายก'!I416+'นครปฐม'!I416+'ปทุมธานี'!I416+'ประจวบคีรีขันธ์'!I416+'ปราจีนบุรี'!I416+'พระนครศรีอยุธยา'!I416+'เพชรบุรี'!I416+'ระยอง'!I416+'ราชบุรี'!I416+'ลพบุรี'!I416+'สระแก้ว'!I416+'สระบุรี'!I416+'สิงห์บุรี'!I416+'สุพรรณบุรี'!I416+'อ่างทอง'!I416</f>
        <v>1005</v>
      </c>
      <c r="J416" s="235">
        <f>'กาญจนบุรี'!J416+'จันทบุรี'!J416+'ฉะเชิงเทรา'!J416+'ชลบุรี'!J416+'ชัยนาท'!J416+'ตราด'!J416+'นครนายก'!J416+'นครปฐม'!J416+'ปทุมธานี'!J416+'ประจวบคีรีขันธ์'!J416+'ปราจีนบุรี'!J416+'พระนครศรีอยุธยา'!J416+'เพชรบุรี'!J416+'ระยอง'!J416+'ราชบุรี'!J416+'ลพบุรี'!J416+'สระแก้ว'!J416+'สระบุรี'!J416+'สิงห์บุรี'!J416+'สุพรรณบุรี'!J416+'อ่างทอง'!J416</f>
        <v>80</v>
      </c>
      <c r="K416" s="236">
        <f t="shared" ref="K416:K432" si="53">IF(I416&gt;0,J416*100/I416,0)</f>
        <v>7.960199005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'กาญจนบุรี'!I417+'จันทบุรี'!I417+'ฉะเชิงเทรา'!I417+'ชลบุรี'!I417+'ชัยนาท'!I417+'ตราด'!I417+'นครนายก'!I417+'นครปฐม'!I417+'ปทุมธานี'!I417+'ประจวบคีรีขันธ์'!I417+'ปราจีนบุรี'!I417+'พระนครศรีอยุธยา'!I417+'เพชรบุรี'!I417+'ระยอง'!I417+'ราชบุรี'!I417+'ลพบุรี'!I417+'สระแก้ว'!I417+'สระบุรี'!I417+'สิงห์บุรี'!I417+'สุพรรณบุรี'!I417+'อ่างทอง'!I417</f>
        <v>238</v>
      </c>
      <c r="J417" s="425">
        <f>'กาญจนบุรี'!J417+'จันทบุรี'!J417+'ฉะเชิงเทรา'!J417+'ชลบุรี'!J417+'ชัยนาท'!J417+'ตราด'!J417+'นครนายก'!J417+'นครปฐม'!J417+'ปทุมธานี'!J417+'ประจวบคีรีขันธ์'!J417+'ปราจีนบุรี'!J417+'พระนครศรีอยุธยา'!J417+'เพชรบุรี'!J417+'ระยอง'!J417+'ราชบุรี'!J417+'ลพบุรี'!J417+'สระแก้ว'!J417+'สระบุรี'!J417+'สิงห์บุรี'!J417+'สุพรรณบุรี'!J417+'อ่างทอง'!J417</f>
        <v>50</v>
      </c>
      <c r="K417" s="236">
        <f t="shared" si="53"/>
        <v>21.00840336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'กาญจนบุรี'!I418+'จันทบุรี'!I418+'ฉะเชิงเทรา'!I418+'ชลบุรี'!I418+'ชัยนาท'!I418+'ตราด'!I418+'นครนายก'!I418+'นครปฐม'!I418+'ปทุมธานี'!I418+'ประจวบคีรีขันธ์'!I418+'ปราจีนบุรี'!I418+'พระนครศรีอยุธยา'!I418+'เพชรบุรี'!I418+'ระยอง'!I418+'ราชบุรี'!I418+'ลพบุรี'!I418+'สระแก้ว'!I418+'สระบุรี'!I418+'สิงห์บุรี'!I418+'สุพรรณบุรี'!I418+'อ่างทอง'!I418</f>
        <v>714</v>
      </c>
      <c r="J418" s="426">
        <f>'กาญจนบุรี'!J418+'จันทบุรี'!J418+'ฉะเชิงเทรา'!J418+'ชลบุรี'!J418+'ชัยนาท'!J418+'ตราด'!J418+'นครนายก'!J418+'นครปฐม'!J418+'ปทุมธานี'!J418+'ประจวบคีรีขันธ์'!J418+'ปราจีนบุรี'!J418+'พระนครศรีอยุธยา'!J418+'เพชรบุรี'!J418+'ระยอง'!J418+'ราชบุรี'!J418+'ลพบุรี'!J418+'สระแก้ว'!J418+'สระบุรี'!J418+'สิงห์บุรี'!J418+'สุพรรณบุรี'!J418+'อ่างทอง'!J418</f>
        <v>30</v>
      </c>
      <c r="K418" s="236">
        <f t="shared" si="53"/>
        <v>4.201680672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'กาญจนบุรี'!I419+'จันทบุรี'!I419+'ฉะเชิงเทรา'!I419+'ชลบุรี'!I419+'ชัยนาท'!I419+'ตราด'!I419+'นครนายก'!I419+'นครปฐม'!I419+'ปทุมธานี'!I419+'ประจวบคีรีขันธ์'!I419+'ปราจีนบุรี'!I419+'พระนครศรีอยุธยา'!I419+'เพชรบุรี'!I419+'ระยอง'!I419+'ราชบุรี'!I419+'ลพบุรี'!I419+'สระแก้ว'!I419+'สระบุรี'!I419+'สิงห์บุรี'!I419+'สุพรรณบุรี'!I419+'อ่างทอง'!I419</f>
        <v>238</v>
      </c>
      <c r="J419" s="427">
        <f>'กาญจนบุรี'!J419+'จันทบุรี'!J419+'ฉะเชิงเทรา'!J419+'ชลบุรี'!J419+'ชัยนาท'!J419+'ตราด'!J419+'นครนายก'!J419+'นครปฐม'!J419+'ปทุมธานี'!J419+'ประจวบคีรีขันธ์'!J419+'ปราจีนบุรี'!J419+'พระนครศรีอยุธยา'!J419+'เพชรบุรี'!J419+'ระยอง'!J419+'ราชบุรี'!J419+'ลพบุรี'!J419+'สระแก้ว'!J419+'สระบุรี'!J419+'สิงห์บุรี'!J419+'สุพรรณบุรี'!J419+'อ่างทอง'!J419</f>
        <v>50</v>
      </c>
      <c r="K419" s="196">
        <f t="shared" si="53"/>
        <v>21.00840336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'กาญจนบุรี'!I420+'จันทบุรี'!I420+'ฉะเชิงเทรา'!I420+'ชลบุรี'!I420+'ชัยนาท'!I420+'ตราด'!I420+'นครนายก'!I420+'นครปฐม'!I420+'ปทุมธานี'!I420+'ประจวบคีรีขันธ์'!I420+'ปราจีนบุรี'!I420+'พระนครศรีอยุธยา'!I420+'เพชรบุรี'!I420+'ระยอง'!I420+'ราชบุรี'!I420+'ลพบุรี'!I420+'สระแก้ว'!I420+'สระบุรี'!I420+'สิงห์บุรี'!I420+'สุพรรณบุรี'!I420+'อ่างทอง'!I420</f>
        <v>238</v>
      </c>
      <c r="J420" s="427">
        <f>'กาญจนบุรี'!J420+'จันทบุรี'!J420+'ฉะเชิงเทรา'!J420+'ชลบุรี'!J420+'ชัยนาท'!J420+'ตราด'!J420+'นครนายก'!J420+'นครปฐม'!J420+'ปทุมธานี'!J420+'ประจวบคีรีขันธ์'!J420+'ปราจีนบุรี'!J420+'พระนครศรีอยุธยา'!J420+'เพชรบุรี'!J420+'ระยอง'!J420+'ราชบุรี'!J420+'ลพบุรี'!J420+'สระแก้ว'!J420+'สระบุรี'!J420+'สิงห์บุรี'!J420+'สุพรรณบุรี'!J420+'อ่างทอง'!J420</f>
        <v>80</v>
      </c>
      <c r="K420" s="321">
        <f t="shared" si="53"/>
        <v>33.61344538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'กาญจนบุรี'!I421+'จันทบุรี'!I421+'ฉะเชิงเทรา'!I421+'ชลบุรี'!I421+'ชัยนาท'!I421+'ตราด'!I421+'นครนายก'!I421+'นครปฐม'!I421+'ปทุมธานี'!I421+'ประจวบคีรีขันธ์'!I421+'ปราจีนบุรี'!I421+'พระนครศรีอยุธยา'!I421+'เพชรบุรี'!I421+'ระยอง'!I421+'ราชบุรี'!I421+'ลพบุรี'!I421+'สระแก้ว'!I421+'สระบุรี'!I421+'สิงห์บุรี'!I421+'สุพรรณบุรี'!I421+'อ่างทอง'!I421</f>
        <v>531</v>
      </c>
      <c r="J421" s="425">
        <f>'กาญจนบุรี'!J421+'จันทบุรี'!J421+'ฉะเชิงเทรา'!J421+'ชลบุรี'!J421+'ชัยนาท'!J421+'ตราด'!J421+'นครนายก'!J421+'นครปฐม'!J421+'ปทุมธานี'!J421+'ประจวบคีรีขันธ์'!J421+'ปราจีนบุรี'!J421+'พระนครศรีอยุธยา'!J421+'เพชรบุรี'!J421+'ระยอง'!J421+'ราชบุรี'!J421+'ลพบุรี'!J421+'สระแก้ว'!J421+'สระบุรี'!J421+'สิงห์บุรี'!J421+'สุพรรณบุรี'!J421+'อ่างทอง'!J421</f>
        <v>20</v>
      </c>
      <c r="K421" s="236">
        <f t="shared" si="53"/>
        <v>3.766478343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'กาญจนบุรี'!I422+'จันทบุรี'!I422+'ฉะเชิงเทรา'!I422+'ชลบุรี'!I422+'ชัยนาท'!I422+'ตราด'!I422+'นครนายก'!I422+'นครปฐม'!I422+'ปทุมธานี'!I422+'ประจวบคีรีขันธ์'!I422+'ปราจีนบุรี'!I422+'พระนครศรีอยุธยา'!I422+'เพชรบุรี'!I422+'ระยอง'!I422+'ราชบุรี'!I422+'ลพบุรี'!I422+'สระแก้ว'!I422+'สระบุรี'!I422+'สิงห์บุรี'!I422+'สุพรรณบุรี'!I422+'อ่างทอง'!I422</f>
        <v>1593</v>
      </c>
      <c r="J422" s="426">
        <f>'กาญจนบุรี'!J422+'จันทบุรี'!J422+'ฉะเชิงเทรา'!J422+'ชลบุรี'!J422+'ชัยนาท'!J422+'ตราด'!J422+'นครนายก'!J422+'นครปฐม'!J422+'ปทุมธานี'!J422+'ประจวบคีรีขันธ์'!J422+'ปราจีนบุรี'!J422+'พระนครศรีอยุธยา'!J422+'เพชรบุรี'!J422+'ระยอง'!J422+'ราชบุรี'!J422+'ลพบุรี'!J422+'สระแก้ว'!J422+'สระบุรี'!J422+'สิงห์บุรี'!J422+'สุพรรณบุรี'!J422+'อ่างทอง'!J422</f>
        <v>0</v>
      </c>
      <c r="K422" s="236">
        <f t="shared" si="53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'กาญจนบุรี'!I423+'จันทบุรี'!I423+'ฉะเชิงเทรา'!I423+'ชลบุรี'!I423+'ชัยนาท'!I423+'ตราด'!I423+'นครนายก'!I423+'นครปฐม'!I423+'ปทุมธานี'!I423+'ประจวบคีรีขันธ์'!I423+'ปราจีนบุรี'!I423+'พระนครศรีอยุธยา'!I423+'เพชรบุรี'!I423+'ระยอง'!I423+'ราชบุรี'!I423+'ลพบุรี'!I423+'สระแก้ว'!I423+'สระบุรี'!I423+'สิงห์บุรี'!I423+'สุพรรณบุรี'!I423+'อ่างทอง'!I423</f>
        <v>531</v>
      </c>
      <c r="J423" s="427">
        <f>'กาญจนบุรี'!J423+'จันทบุรี'!J423+'ฉะเชิงเทรา'!J423+'ชลบุรี'!J423+'ชัยนาท'!J423+'ตราด'!J423+'นครนายก'!J423+'นครปฐม'!J423+'ปทุมธานี'!J423+'ประจวบคีรีขันธ์'!J423+'ปราจีนบุรี'!J423+'พระนครศรีอยุธยา'!J423+'เพชรบุรี'!J423+'ระยอง'!J423+'ราชบุรี'!J423+'ลพบุรี'!J423+'สระแก้ว'!J423+'สระบุรี'!J423+'สิงห์บุรี'!J423+'สุพรรณบุรี'!J423+'อ่างทอง'!J423</f>
        <v>60</v>
      </c>
      <c r="K423" s="196">
        <f t="shared" si="53"/>
        <v>11.29943503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'กาญจนบุรี'!I424+'จันทบุรี'!I424+'ฉะเชิงเทรา'!I424+'ชลบุรี'!I424+'ชัยนาท'!I424+'ตราด'!I424+'นครนายก'!I424+'นครปฐม'!I424+'ปทุมธานี'!I424+'ประจวบคีรีขันธ์'!I424+'ปราจีนบุรี'!I424+'พระนครศรีอยุธยา'!I424+'เพชรบุรี'!I424+'ระยอง'!I424+'ราชบุรี'!I424+'ลพบุรี'!I424+'สระแก้ว'!I424+'สระบุรี'!I424+'สิงห์บุรี'!I424+'สุพรรณบุรี'!I424+'อ่างทอง'!I424</f>
        <v>531</v>
      </c>
      <c r="J424" s="427">
        <f>'กาญจนบุรี'!J424+'จันทบุรี'!J424+'ฉะเชิงเทรา'!J424+'ชลบุรี'!J424+'ชัยนาท'!J424+'ตราด'!J424+'นครนายก'!J424+'นครปฐม'!J424+'ปทุมธานี'!J424+'ประจวบคีรีขันธ์'!J424+'ปราจีนบุรี'!J424+'พระนครศรีอยุธยา'!J424+'เพชรบุรี'!J424+'ระยอง'!J424+'ราชบุรี'!J424+'ลพบุรี'!J424+'สระแก้ว'!J424+'สระบุรี'!J424+'สิงห์บุรี'!J424+'สุพรรณบุรี'!J424+'อ่างทอง'!J424</f>
        <v>20</v>
      </c>
      <c r="K424" s="196">
        <f t="shared" si="53"/>
        <v>3.766478343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'กาญจนบุรี'!I425+'จันทบุรี'!I425+'ฉะเชิงเทรา'!I425+'ชลบุรี'!I425+'ชัยนาท'!I425+'ตราด'!I425+'นครนายก'!I425+'นครปฐม'!I425+'ปทุมธานี'!I425+'ประจวบคีรีขันธ์'!I425+'ปราจีนบุรี'!I425+'พระนครศรีอยุธยา'!I425+'เพชรบุรี'!I425+'ระยอง'!I425+'ราชบุรี'!I425+'ลพบุรี'!I425+'สระแก้ว'!I425+'สระบุรี'!I425+'สิงห์บุรี'!I425+'สุพรรณบุรี'!I425+'อ่างทอง'!I425</f>
        <v>531</v>
      </c>
      <c r="J425" s="427">
        <f>'กาญจนบุรี'!J425+'จันทบุรี'!J425+'ฉะเชิงเทรา'!J425+'ชลบุรี'!J425+'ชัยนาท'!J425+'ตราด'!J425+'นครนายก'!J425+'นครปฐม'!J425+'ปทุมธานี'!J425+'ประจวบคีรีขันธ์'!J425+'ปราจีนบุรี'!J425+'พระนครศรีอยุธยา'!J425+'เพชรบุรี'!J425+'ระยอง'!J425+'ราชบุรี'!J425+'ลพบุรี'!J425+'สระแก้ว'!J425+'สระบุรี'!J425+'สิงห์บุรี'!J425+'สุพรรณบุรี'!J425+'อ่างทอง'!J425</f>
        <v>20</v>
      </c>
      <c r="K425" s="196">
        <f t="shared" si="53"/>
        <v>3.766478343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'กาญจนบุรี'!I426+'จันทบุรี'!I426+'ฉะเชิงเทรา'!I426+'ชลบุรี'!I426+'ชัยนาท'!I426+'ตราด'!I426+'นครนายก'!I426+'นครปฐม'!I426+'ปทุมธานี'!I426+'ประจวบคีรีขันธ์'!I426+'ปราจีนบุรี'!I426+'พระนครศรีอยุธยา'!I426+'เพชรบุรี'!I426+'ระยอง'!I426+'ราชบุรี'!I426+'ลพบุรี'!I426+'สระแก้ว'!I426+'สระบุรี'!I426+'สิงห์บุรี'!I426+'สุพรรณบุรี'!I426+'อ่างทอง'!I426</f>
        <v>236</v>
      </c>
      <c r="J426" s="425">
        <f>'กาญจนบุรี'!J426+'จันทบุรี'!J426+'ฉะเชิงเทรา'!J426+'ชลบุรี'!J426+'ชัยนาท'!J426+'ตราด'!J426+'นครนายก'!J426+'นครปฐม'!J426+'ปทุมธานี'!J426+'ประจวบคีรีขันธ์'!J426+'ปราจีนบุรี'!J426+'พระนครศรีอยุธยา'!J426+'เพชรบุรี'!J426+'ระยอง'!J426+'ราชบุรี'!J426+'ลพบุรี'!J426+'สระแก้ว'!J426+'สระบุรี'!J426+'สิงห์บุรี'!J426+'สุพรรณบุรี'!J426+'อ่างทอง'!J426</f>
        <v>10</v>
      </c>
      <c r="K426" s="236">
        <f t="shared" si="53"/>
        <v>4.237288136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'กาญจนบุรี'!I427+'จันทบุรี'!I427+'ฉะเชิงเทรา'!I427+'ชลบุรี'!I427+'ชัยนาท'!I427+'ตราด'!I427+'นครนายก'!I427+'นครปฐม'!I427+'ปทุมธานี'!I427+'ประจวบคีรีขันธ์'!I427+'ปราจีนบุรี'!I427+'พระนครศรีอยุธยา'!I427+'เพชรบุรี'!I427+'ระยอง'!I427+'ราชบุรี'!I427+'ลพบุรี'!I427+'สระแก้ว'!I427+'สระบุรี'!I427+'สิงห์บุรี'!I427+'สุพรรณบุรี'!I427+'อ่างทอง'!I427</f>
        <v>708</v>
      </c>
      <c r="J427" s="426">
        <f>'กาญจนบุรี'!J427+'จันทบุรี'!J427+'ฉะเชิงเทรา'!J427+'ชลบุรี'!J427+'ชัยนาท'!J427+'ตราด'!J427+'นครนายก'!J427+'นครปฐม'!J427+'ปทุมธานี'!J427+'ประจวบคีรีขันธ์'!J427+'ปราจีนบุรี'!J427+'พระนครศรีอยุธยา'!J427+'เพชรบุรี'!J427+'ระยอง'!J427+'ราชบุรี'!J427+'ลพบุรี'!J427+'สระแก้ว'!J427+'สระบุรี'!J427+'สิงห์บุรี'!J427+'สุพรรณบุรี'!J427+'อ่างทอง'!J427</f>
        <v>30</v>
      </c>
      <c r="K427" s="236">
        <f t="shared" si="53"/>
        <v>4.237288136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'กาญจนบุรี'!I428+'จันทบุรี'!I428+'ฉะเชิงเทรา'!I428+'ชลบุรี'!I428+'ชัยนาท'!I428+'ตราด'!I428+'นครนายก'!I428+'นครปฐม'!I428+'ปทุมธานี'!I428+'ประจวบคีรีขันธ์'!I428+'ปราจีนบุรี'!I428+'พระนครศรีอยุธยา'!I428+'เพชรบุรี'!I428+'ระยอง'!I428+'ราชบุรี'!I428+'ลพบุรี'!I428+'สระแก้ว'!I428+'สระบุรี'!I428+'สิงห์บุรี'!I428+'สุพรรณบุรี'!I428+'อ่างทอง'!I428</f>
        <v>236</v>
      </c>
      <c r="J428" s="427">
        <f>'กาญจนบุรี'!J428+'จันทบุรี'!J428+'ฉะเชิงเทรา'!J428+'ชลบุรี'!J428+'ชัยนาท'!J428+'ตราด'!J428+'นครนายก'!J428+'นครปฐม'!J428+'ปทุมธานี'!J428+'ประจวบคีรีขันธ์'!J428+'ปราจีนบุรี'!J428+'พระนครศรีอยุธยา'!J428+'เพชรบุรี'!J428+'ระยอง'!J428+'ราชบุรี'!J428+'ลพบุรี'!J428+'สระแก้ว'!J428+'สระบุรี'!J428+'สิงห์บุรี'!J428+'สุพรรณบุรี'!J428+'อ่างทอง'!J428</f>
        <v>20</v>
      </c>
      <c r="K428" s="196">
        <f t="shared" si="53"/>
        <v>8.474576271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'กาญจนบุรี'!I429+'จันทบุรี'!I429+'ฉะเชิงเทรา'!I429+'ชลบุรี'!I429+'ชัยนาท'!I429+'ตราด'!I429+'นครนายก'!I429+'นครปฐม'!I429+'ปทุมธานี'!I429+'ประจวบคีรีขันธ์'!I429+'ปราจีนบุรี'!I429+'พระนครศรีอยุธยา'!I429+'เพชรบุรี'!I429+'ระยอง'!I429+'ราชบุรี'!I429+'ลพบุรี'!I429+'สระแก้ว'!I429+'สระบุรี'!I429+'สิงห์บุรี'!I429+'สุพรรณบุรี'!I429+'อ่างทอง'!I429</f>
        <v>236</v>
      </c>
      <c r="J429" s="427">
        <f>'กาญจนบุรี'!J429+'จันทบุรี'!J429+'ฉะเชิงเทรา'!J429+'ชลบุรี'!J429+'ชัยนาท'!J429+'ตราด'!J429+'นครนายก'!J429+'นครปฐม'!J429+'ปทุมธานี'!J429+'ประจวบคีรีขันธ์'!J429+'ปราจีนบุรี'!J429+'พระนครศรีอยุธยา'!J429+'เพชรบุรี'!J429+'ระยอง'!J429+'ราชบุรี'!J429+'ลพบุรี'!J429+'สระแก้ว'!J429+'สระบุรี'!J429+'สิงห์บุรี'!J429+'สุพรรณบุรี'!J429+'อ่างทอง'!J429</f>
        <v>20</v>
      </c>
      <c r="K429" s="196">
        <f t="shared" si="53"/>
        <v>8.474576271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'กาญจนบุรี'!I430+'จันทบุรี'!I430+'ฉะเชิงเทรา'!I430+'ชลบุรี'!I430+'ชัยนาท'!I430+'ตราด'!I430+'นครนายก'!I430+'นครปฐม'!I430+'ปทุมธานี'!I430+'ประจวบคีรีขันธ์'!I430+'ปราจีนบุรี'!I430+'พระนครศรีอยุธยา'!I430+'เพชรบุรี'!I430+'ระยอง'!I430+'ราชบุรี'!I430+'ลพบุรี'!I430+'สระแก้ว'!I430+'สระบุรี'!I430+'สิงห์บุรี'!I430+'สุพรรณบุรี'!I430+'อ่างทอง'!I430</f>
        <v>769</v>
      </c>
      <c r="J430" s="425">
        <f>'กาญจนบุรี'!J430+'จันทบุรี'!J430+'ฉะเชิงเทรา'!J430+'ชลบุรี'!J430+'ชัยนาท'!J430+'ตราด'!J430+'นครนายก'!J430+'นครปฐม'!J430+'ปทุมธานี'!J430+'ประจวบคีรีขันธ์'!J430+'ปราจีนบุรี'!J430+'พระนครศรีอยุธยา'!J430+'เพชรบุรี'!J430+'ระยอง'!J430+'ราชบุรี'!J430+'ลพบุรี'!J430+'สระแก้ว'!J430+'สระบุรี'!J430+'สิงห์บุรี'!J430+'สุพรรณบุรี'!J430+'อ่างทอง'!J430</f>
        <v>0</v>
      </c>
      <c r="K430" s="236">
        <f t="shared" si="53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'กาญจนบุรี'!I431+'จันทบุรี'!I431+'ฉะเชิงเทรา'!I431+'ชลบุรี'!I431+'ชัยนาท'!I431+'ตราด'!I431+'นครนายก'!I431+'นครปฐม'!I431+'ปทุมธานี'!I431+'ประจวบคีรีขันธ์'!I431+'ปราจีนบุรี'!I431+'พระนครศรีอยุธยา'!I431+'เพชรบุรี'!I431+'ระยอง'!I431+'ราชบุรี'!I431+'ลพบุรี'!I431+'สระแก้ว'!I431+'สระบุรี'!I431+'สิงห์บุรี'!I431+'สุพรรณบุรี'!I431+'อ่างทอง'!I431</f>
        <v>238</v>
      </c>
      <c r="J431" s="427">
        <f>'กาญจนบุรี'!J431+'จันทบุรี'!J431+'ฉะเชิงเทรา'!J431+'ชลบุรี'!J431+'ชัยนาท'!J431+'ตราด'!J431+'นครนายก'!J431+'นครปฐม'!J431+'ปทุมธานี'!J431+'ประจวบคีรีขันธ์'!J431+'ปราจีนบุรี'!J431+'พระนครศรีอยุธยา'!J431+'เพชรบุรี'!J431+'ระยอง'!J431+'ราชบุรี'!J431+'ลพบุรี'!J431+'สระแก้ว'!J431+'สระบุรี'!J431+'สิงห์บุรี'!J431+'สุพรรณบุรี'!J431+'อ่างทอง'!J431</f>
        <v>30</v>
      </c>
      <c r="K431" s="196">
        <f t="shared" si="53"/>
        <v>12.60504202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'กาญจนบุรี'!I432+'จันทบุรี'!I432+'ฉะเชิงเทรา'!I432+'ชลบุรี'!I432+'ชัยนาท'!I432+'ตราด'!I432+'นครนายก'!I432+'นครปฐม'!I432+'ปทุมธานี'!I432+'ประจวบคีรีขันธ์'!I432+'ปราจีนบุรี'!I432+'พระนครศรีอยุธยา'!I432+'เพชรบุรี'!I432+'ระยอง'!I432+'ราชบุรี'!I432+'ลพบุรี'!I432+'สระแก้ว'!I432+'สระบุรี'!I432+'สิงห์บุรี'!I432+'สุพรรณบุรี'!I432+'อ่างทอง'!I432</f>
        <v>531</v>
      </c>
      <c r="J432" s="427">
        <f>'กาญจนบุรี'!J432+'จันทบุรี'!J432+'ฉะเชิงเทรา'!J432+'ชลบุรี'!J432+'ชัยนาท'!J432+'ตราด'!J432+'นครนายก'!J432+'นครปฐม'!J432+'ปทุมธานี'!J432+'ประจวบคีรีขันธ์'!J432+'ปราจีนบุรี'!J432+'พระนครศรีอยุธยา'!J432+'เพชรบุรี'!J432+'ระยอง'!J432+'ราชบุรี'!J432+'ลพบุรี'!J432+'สระแก้ว'!J432+'สระบุรี'!J432+'สิงห์บุรี'!J432+'สุพรรณบุรี'!J432+'อ่างทอง'!J432</f>
        <v>0</v>
      </c>
      <c r="K432" s="196">
        <f t="shared" si="53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'กาญจนบุรี'!J433+'จันทบุรี'!J433+'ฉะเชิงเทรา'!J433+'ชลบุรี'!J433+'ชัยนาท'!J433+'ตราด'!J433+'นครนายก'!J433+'นครปฐม'!J433+'ปทุมธานี'!J433+'ประจวบคีรีขันธ์'!J433+'ปราจีนบุรี'!J433+'พระนครศรีอยุธยา'!J433+'เพชรบุรี'!J433+'ระยอง'!J433+'ราชบุรี'!J433+'ลพบุรี'!J433+'สระแก้ว'!J433+'สระบุรี'!J433+'สิงห์บุรี'!J433+'สุพรรณบุรี'!J433+'อ่างทอง'!J433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'กาญจนบุรี'!J434+'จันทบุรี'!J434+'ฉะเชิงเทรา'!J434+'ชลบุรี'!J434+'ชัยนาท'!J434+'ตราด'!J434+'นครนายก'!J434+'นครปฐม'!J434+'ปทุมธานี'!J434+'ประจวบคีรีขันธ์'!J434+'ปราจีนบุรี'!J434+'พระนครศรีอยุธยา'!J434+'เพชรบุรี'!J434+'ระยอง'!J434+'ราชบุรี'!J434+'ลพบุรี'!J434+'สระแก้ว'!J434+'สระบุรี'!J434+'สิงห์บุรี'!J434+'สุพรรณบุรี'!J434+'อ่างทอง'!J434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'กาญจนบุรี'!I435+'จันทบุรี'!I435+'ฉะเชิงเทรา'!I435+'ชลบุรี'!I435+'ชัยนาท'!I435+'ตราด'!I435+'นครนายก'!I435+'นครปฐม'!I435+'ปทุมธานี'!I435+'ประจวบคีรีขันธ์'!I435+'ปราจีนบุรี'!I435+'พระนครศรีอยุธยา'!I435+'เพชรบุรี'!I435+'ระยอง'!I435+'ราชบุรี'!I435+'ลพบุรี'!I435+'สระแก้ว'!I435+'สระบุรี'!I435+'สิงห์บุรี'!I435+'สุพรรณบุรี'!I435+'อ่างทอง'!I435</f>
        <v>509</v>
      </c>
      <c r="J435" s="443">
        <f>'กาญจนบุรี'!J435+'จันทบุรี'!J435+'ฉะเชิงเทรา'!J435+'ชลบุรี'!J435+'ชัยนาท'!J435+'ตราด'!J435+'นครนายก'!J435+'นครปฐม'!J435+'ปทุมธานี'!J435+'ประจวบคีรีขันธ์'!J435+'ปราจีนบุรี'!J435+'พระนครศรีอยุธยา'!J435+'เพชรบุรี'!J435+'ระยอง'!J435+'ราชบุรี'!J435+'ลพบุรี'!J435+'สระแก้ว'!J435+'สระบุรี'!J435+'สิงห์บุรี'!J435+'สุพรรณบุรี'!J435+'อ่างทอง'!J435</f>
        <v>210</v>
      </c>
      <c r="K435" s="444">
        <f>IF(I435&gt;0,J435*100/I435,0)</f>
        <v>41.25736739</v>
      </c>
      <c r="L435" s="445">
        <f>'กาญจนบุรี'!L435+'จันทบุรี'!L435+'ฉะเชิงเทรา'!L435+'ชลบุรี'!L435+'ชัยนาท'!L435+'ตราด'!L435+'นครนายก'!L435+'นครปฐม'!L435+'ปทุมธานี'!L435+'ประจวบคีรีขันธ์'!L435+'ปราจีนบุรี'!L435+'พระนครศรีอยุธยา'!L435+'เพชรบุรี'!L435+'ระยอง'!L435+'ราชบุรี'!L435+'ลพบุรี'!L435+'สระแก้ว'!L435+'สระบุรี'!L435+'สิงห์บุรี'!L435+'สุพรรณบุรี'!L435+'อ่างทอง'!L435</f>
        <v>2152900</v>
      </c>
      <c r="M435" s="445"/>
      <c r="N435" s="445">
        <f>'กาญจนบุรี'!N435+'จันทบุรี'!N435+'ฉะเชิงเทรา'!N435+'ชลบุรี'!N435+'ชัยนาท'!N435+'ตราด'!N435+'นครนายก'!N435+'นครปฐม'!N435+'ปทุมธานี'!N435+'ประจวบคีรีขันธ์'!N435+'ปราจีนบุรี'!N435+'พระนครศรีอยุธยา'!N435+'เพชรบุรี'!N435+'ระยอง'!N435+'ราชบุรี'!N435+'ลพบุรี'!N435+'สระแก้ว'!N435+'สระบุรี'!N435+'สิงห์บุรี'!N435+'สุพรรณบุรี'!N435+'อ่างทอง'!N435</f>
        <v>495417.29</v>
      </c>
      <c r="O435" s="445">
        <f t="shared" ref="O435:O439" si="54">+IF(L435&gt;0,N435*100/L435,0)</f>
        <v>23.01162571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'กาญจนบุรี'!L436+'จันทบุรี'!L436+'ฉะเชิงเทรา'!L436+'ชลบุรี'!L436+'ชัยนาท'!L436+'ตราด'!L436+'นครนายก'!L436+'นครปฐม'!L436+'ปทุมธานี'!L436+'ประจวบคีรีขันธ์'!L436+'ปราจีนบุรี'!L436+'พระนครศรีอยุธยา'!L436+'เพชรบุรี'!L436+'ระยอง'!L436+'ราชบุรี'!L436+'ลพบุรี'!L436+'สระแก้ว'!L436+'สระบุรี'!L436+'สิงห์บุรี'!L436+'สุพรรณบุรี'!L436+'อ่างทอง'!L436</f>
        <v>0</v>
      </c>
      <c r="M436" s="197"/>
      <c r="N436" s="203">
        <f>'กาญจนบุรี'!N436+'จันทบุรี'!N436+'ฉะเชิงเทรา'!N436+'ชลบุรี'!N436+'ชัยนาท'!N436+'ตราด'!N436+'นครนายก'!N436+'นครปฐม'!N436+'ปทุมธานี'!N436+'ประจวบคีรีขันธ์'!N436+'ปราจีนบุรี'!N436+'พระนครศรีอยุธยา'!N436+'เพชรบุรี'!N436+'ระยอง'!N436+'ราชบุรี'!N436+'ลพบุรี'!N436+'สระแก้ว'!N436+'สระบุรี'!N436+'สิงห์บุรี'!N436+'สุพรรณบุรี'!N436+'อ่างทอง'!N436</f>
        <v>0</v>
      </c>
      <c r="O436" s="203">
        <f t="shared" si="54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'กาญจนบุรี'!L437+'จันทบุรี'!L437+'ฉะเชิงเทรา'!L437+'ชลบุรี'!L437+'ชัยนาท'!L437+'ตราด'!L437+'นครนายก'!L437+'นครปฐม'!L437+'ปทุมธานี'!L437+'ประจวบคีรีขันธ์'!L437+'ปราจีนบุรี'!L437+'พระนครศรีอยุธยา'!L437+'เพชรบุรี'!L437+'ระยอง'!L437+'ราชบุรี'!L437+'ลพบุรี'!L437+'สระแก้ว'!L437+'สระบุรี'!L437+'สิงห์บุรี'!L437+'สุพรรณบุรี'!L437+'อ่างทอง'!L437</f>
        <v>2152900</v>
      </c>
      <c r="M437" s="198"/>
      <c r="N437" s="203">
        <f>'กาญจนบุรี'!N437+'จันทบุรี'!N437+'ฉะเชิงเทรา'!N437+'ชลบุรี'!N437+'ชัยนาท'!N437+'ตราด'!N437+'นครนายก'!N437+'นครปฐม'!N437+'ปทุมธานี'!N437+'ประจวบคีรีขันธ์'!N437+'ปราจีนบุรี'!N437+'พระนครศรีอยุธยา'!N437+'เพชรบุรี'!N437+'ระยอง'!N437+'ราชบุรี'!N437+'ลพบุรี'!N437+'สระแก้ว'!N437+'สระบุรี'!N437+'สิงห์บุรี'!N437+'สุพรรณบุรี'!N437+'อ่างทอง'!N437</f>
        <v>495417.29</v>
      </c>
      <c r="O437" s="203">
        <f t="shared" si="54"/>
        <v>23.01162571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'กาญจนบุรี'!L438+'จันทบุรี'!L438+'ฉะเชิงเทรา'!L438+'ชลบุรี'!L438+'ชัยนาท'!L438+'ตราด'!L438+'นครนายก'!L438+'นครปฐม'!L438+'ปทุมธานี'!L438+'ประจวบคีรีขันธ์'!L438+'ปราจีนบุรี'!L438+'พระนครศรีอยุธยา'!L438+'เพชรบุรี'!L438+'ระยอง'!L438+'ราชบุรี'!L438+'ลพบุรี'!L438+'สระแก้ว'!L438+'สระบุรี'!L438+'สิงห์บุรี'!L438+'สุพรรณบุรี'!L438+'อ่างทอง'!L438</f>
        <v>0</v>
      </c>
      <c r="M438" s="203"/>
      <c r="N438" s="203">
        <f>'กาญจนบุรี'!N438+'จันทบุรี'!N438+'ฉะเชิงเทรา'!N438+'ชลบุรี'!N438+'ชัยนาท'!N438+'ตราด'!N438+'นครนายก'!N438+'นครปฐม'!N438+'ปทุมธานี'!N438+'ประจวบคีรีขันธ์'!N438+'ปราจีนบุรี'!N438+'พระนครศรีอยุธยา'!N438+'เพชรบุรี'!N438+'ระยอง'!N438+'ราชบุรี'!N438+'ลพบุรี'!N438+'สระแก้ว'!N438+'สระบุรี'!N438+'สิงห์บุรี'!N438+'สุพรรณบุรี'!N438+'อ่างทอง'!N438</f>
        <v>0</v>
      </c>
      <c r="O438" s="203">
        <f t="shared" si="54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'กาญจนบุรี'!L439+'จันทบุรี'!L439+'ฉะเชิงเทรา'!L439+'ชลบุรี'!L439+'ชัยนาท'!L439+'ตราด'!L439+'นครนายก'!L439+'นครปฐม'!L439+'ปทุมธานี'!L439+'ประจวบคีรีขันธ์'!L439+'ปราจีนบุรี'!L439+'พระนครศรีอยุธยา'!L439+'เพชรบุรี'!L439+'ระยอง'!L439+'ราชบุรี'!L439+'ลพบุรี'!L439+'สระแก้ว'!L439+'สระบุรี'!L439+'สิงห์บุรี'!L439+'สุพรรณบุรี'!L439+'อ่างทอง'!L439</f>
        <v>2152900</v>
      </c>
      <c r="M439" s="203"/>
      <c r="N439" s="203">
        <f>'กาญจนบุรี'!N439+'จันทบุรี'!N439+'ฉะเชิงเทรา'!N439+'ชลบุรี'!N439+'ชัยนาท'!N439+'ตราด'!N439+'นครนายก'!N439+'นครปฐม'!N439+'ปทุมธานี'!N439+'ประจวบคีรีขันธ์'!N439+'ปราจีนบุรี'!N439+'พระนครศรีอยุธยา'!N439+'เพชรบุรี'!N439+'ระยอง'!N439+'ราชบุรี'!N439+'ลพบุรี'!N439+'สระแก้ว'!N439+'สระบุรี'!N439+'สิงห์บุรี'!N439+'สุพรรณบุรี'!N439+'อ่างทอง'!N439</f>
        <v>495417.29</v>
      </c>
      <c r="O439" s="203">
        <f t="shared" si="54"/>
        <v>23.01162571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'กาญจนบุรี'!N440+'จันทบุรี'!N440+'ฉะเชิงเทรา'!N440+'ชลบุรี'!N440+'ชัยนาท'!N440+'ตราด'!N440+'นครนายก'!N440+'นครปฐม'!N440+'ปทุมธานี'!N440+'ประจวบคีรีขันธ์'!N440+'ปราจีนบุรี'!N440+'พระนครศรีอยุธยา'!N440+'เพชรบุรี'!N440+'ระยอง'!N440+'ราชบุรี'!N440+'ลพบุรี'!N440+'สระแก้ว'!N440+'สระบุรี'!N440+'สิงห์บุรี'!N440+'สุพรรณบุรี'!N440+'อ่างทอง'!N440</f>
        <v>377007.29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'กาญจนบุรี'!N441+'จันทบุรี'!N441+'ฉะเชิงเทรา'!N441+'ชลบุรี'!N441+'ชัยนาท'!N441+'ตราด'!N441+'นครนายก'!N441+'นครปฐม'!N441+'ปทุมธานี'!N441+'ประจวบคีรีขันธ์'!N441+'ปราจีนบุรี'!N441+'พระนครศรีอยุธยา'!N441+'เพชรบุรี'!N441+'ระยอง'!N441+'ราชบุรี'!N441+'ลพบุรี'!N441+'สระแก้ว'!N441+'สระบุรี'!N441+'สิงห์บุรี'!N441+'สุพรรณบุรี'!N441+'อ่างทอง'!N441</f>
        <v>37450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'กาญจนบุรี'!N442+'จันทบุรี'!N442+'ฉะเชิงเทรา'!N442+'ชลบุรี'!N442+'ชัยนาท'!N442+'ตราด'!N442+'นครนายก'!N442+'นครปฐม'!N442+'ปทุมธานี'!N442+'ประจวบคีรีขันธ์'!N442+'ปราจีนบุรี'!N442+'พระนครศรีอยุธยา'!N442+'เพชรบุรี'!N442+'ระยอง'!N442+'ราชบุรี'!N442+'ลพบุรี'!N442+'สระแก้ว'!N442+'สระบุรี'!N442+'สิงห์บุรี'!N442+'สุพรรณบุรี'!N442+'อ่างทอง'!N442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'กาญจนบุรี'!N443+'จันทบุรี'!N443+'ฉะเชิงเทรา'!N443+'ชลบุรี'!N443+'ชัยนาท'!N443+'ตราด'!N443+'นครนายก'!N443+'นครปฐม'!N443+'ปทุมธานี'!N443+'ประจวบคีรีขันธ์'!N443+'ปราจีนบุรี'!N443+'พระนครศรีอยุธยา'!N443+'เพชรบุรี'!N443+'ระยอง'!N443+'ราชบุรี'!N443+'ลพบุรี'!N443+'สระแก้ว'!N443+'สระบุรี'!N443+'สิงห์บุรี'!N443+'สุพรรณบุรี'!N443+'อ่างทอง'!N443</f>
        <v>80960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'กาญจนบุรี'!J445+'จันทบุรี'!J445+'ฉะเชิงเทรา'!J445+'ชลบุรี'!J445+'ชัยนาท'!J445+'ตราด'!J445+'นครนายก'!J445+'นครปฐม'!J445+'ปทุมธานี'!J445+'ประจวบคีรีขันธ์'!J445+'ปราจีนบุรี'!J445+'พระนครศรีอยุธยา'!J445+'เพชรบุรี'!J445+'ระยอง'!J445+'ราชบุรี'!J445+'ลพบุรี'!J445+'สระแก้ว'!J445+'สระบุรี'!J445+'สิงห์บุรี'!J445+'สุพรรณบุรี'!J445+'อ่างทอง'!J445</f>
        <v>1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'กาญจนบุรี'!J446+'จันทบุรี'!J446+'ฉะเชิงเทรา'!J446+'ชลบุรี'!J446+'ชัยนาท'!J446+'ตราด'!J446+'นครนายก'!J446+'นครปฐม'!J446+'ปทุมธานี'!J446+'ประจวบคีรีขันธ์'!J446+'ปราจีนบุรี'!J446+'พระนครศรีอยุธยา'!J446+'เพชรบุรี'!J446+'ระยอง'!J446+'ราชบุรี'!J446+'ลพบุรี'!J446+'สระแก้ว'!J446+'สระบุรี'!J446+'สิงห์บุรี'!J446+'สุพรรณบุรี'!J446+'อ่างทอง'!J446</f>
        <v>18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'กาญจนบุรี'!J447+'จันทบุรี'!J447+'ฉะเชิงเทรา'!J447+'ชลบุรี'!J447+'ชัยนาท'!J447+'ตราด'!J447+'นครนายก'!J447+'นครปฐม'!J447+'ปทุมธานี'!J447+'ประจวบคีรีขันธ์'!J447+'ปราจีนบุรี'!J447+'พระนครศรีอยุธยา'!J447+'เพชรบุรี'!J447+'ระยอง'!J447+'ราชบุรี'!J447+'ลพบุรี'!J447+'สระแก้ว'!J447+'สระบุรี'!J447+'สิงห์บุรี'!J447+'สุพรรณบุรี'!J447+'อ่างทอง'!J447</f>
        <v>15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'กาญจนบุรี'!J448+'จันทบุรี'!J448+'ฉะเชิงเทรา'!J448+'ชลบุรี'!J448+'ชัยนาท'!J448+'ตราด'!J448+'นครนายก'!J448+'นครปฐม'!J448+'ปทุมธานี'!J448+'ประจวบคีรีขันธ์'!J448+'ปราจีนบุรี'!J448+'พระนครศรีอยุธยา'!J448+'เพชรบุรี'!J448+'ระยอง'!J448+'ราชบุรี'!J448+'ลพบุรี'!J448+'สระแก้ว'!J448+'สระบุรี'!J448+'สิงห์บุรี'!J448+'สุพรรณบุรี'!J448+'อ่างทอง'!J448</f>
        <v>12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'กาญจนบุรี'!I449+'จันทบุรี'!I449+'ฉะเชิงเทรา'!I449+'ชลบุรี'!I449+'ชัยนาท'!I449+'ตราด'!I449+'นครนายก'!I449+'นครปฐม'!I449+'ปทุมธานี'!I449+'ประจวบคีรีขันธ์'!I449+'ปราจีนบุรี'!I449+'พระนครศรีอยุธยา'!I449+'เพชรบุรี'!I449+'ระยอง'!I449+'ราชบุรี'!I449+'ลพบุรี'!I449+'สระแก้ว'!I449+'สระบุรี'!I449+'สิงห์บุรี'!I449+'สุพรรณบุรี'!I449+'อ่างทอง'!I449</f>
        <v>509</v>
      </c>
      <c r="J449" s="235">
        <f>'กาญจนบุรี'!J449+'จันทบุรี'!J449+'ฉะเชิงเทรา'!J449+'ชลบุรี'!J449+'ชัยนาท'!J449+'ตราด'!J449+'นครนายก'!J449+'นครปฐม'!J449+'ปทุมธานี'!J449+'ประจวบคีรีขันธ์'!J449+'ปราจีนบุรี'!J449+'พระนครศรีอยุธยา'!J449+'เพชรบุรี'!J449+'ระยอง'!J449+'ราชบุรี'!J449+'ลพบุรี'!J449+'สระแก้ว'!J449+'สระบุรี'!J449+'สิงห์บุรี'!J449+'สุพรรณบุรี'!J449+'อ่างทอง'!J449</f>
        <v>210</v>
      </c>
      <c r="K449" s="196">
        <f t="shared" ref="K449:K452" si="55">IF(I449&gt;0,J449*100/I449,0)</f>
        <v>41.25736739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'กาญจนบุรี'!I450+'จันทบุรี'!I450+'ฉะเชิงเทรา'!I450+'ชลบุรี'!I450+'ชัยนาท'!I450+'ตราด'!I450+'นครนายก'!I450+'นครปฐม'!I450+'ปทุมธานี'!I450+'ประจวบคีรีขันธ์'!I450+'ปราจีนบุรี'!I450+'พระนครศรีอยุธยา'!I450+'เพชรบุรี'!I450+'ระยอง'!I450+'ราชบุรี'!I450+'ลพบุรี'!I450+'สระแก้ว'!I450+'สระบุรี'!I450+'สิงห์บุรี'!I450+'สุพรรณบุรี'!I450+'อ่างทอง'!I450</f>
        <v>399</v>
      </c>
      <c r="J450" s="223">
        <f>'กาญจนบุรี'!J450+'จันทบุรี'!J450+'ฉะเชิงเทรา'!J450+'ชลบุรี'!J450+'ชัยนาท'!J450+'ตราด'!J450+'นครนายก'!J450+'นครปฐม'!J450+'ปทุมธานี'!J450+'ประจวบคีรีขันธ์'!J450+'ปราจีนบุรี'!J450+'พระนครศรีอยุธยา'!J450+'เพชรบุรี'!J450+'ระยอง'!J450+'ราชบุรี'!J450+'ลพบุรี'!J450+'สระแก้ว'!J450+'สระบุรี'!J450+'สิงห์บุรี'!J450+'สุพรรณบุรี'!J450+'อ่างทอง'!J450</f>
        <v>130</v>
      </c>
      <c r="K450" s="196">
        <f t="shared" si="55"/>
        <v>32.58145363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'กาญจนบุรี'!I451+'จันทบุรี'!I451+'ฉะเชิงเทรา'!I451+'ชลบุรี'!I451+'ชัยนาท'!I451+'ตราด'!I451+'นครนายก'!I451+'นครปฐม'!I451+'ปทุมธานี'!I451+'ประจวบคีรีขันธ์'!I451+'ปราจีนบุรี'!I451+'พระนครศรีอยุธยา'!I451+'เพชรบุรี'!I451+'ระยอง'!I451+'ราชบุรี'!I451+'ลพบุรี'!I451+'สระแก้ว'!I451+'สระบุรี'!I451+'สิงห์บุรี'!I451+'สุพรรณบุรี'!I451+'อ่างทอง'!I451</f>
        <v>110</v>
      </c>
      <c r="J451" s="222">
        <f>'กาญจนบุรี'!J451+'จันทบุรี'!J451+'ฉะเชิงเทรา'!J451+'ชลบุรี'!J451+'ชัยนาท'!J451+'ตราด'!J451+'นครนายก'!J451+'นครปฐม'!J451+'ปทุมธานี'!J451+'ประจวบคีรีขันธ์'!J451+'ปราจีนบุรี'!J451+'พระนครศรีอยุธยา'!J451+'เพชรบุรี'!J451+'ระยอง'!J451+'ราชบุรี'!J451+'ลพบุรี'!J451+'สระแก้ว'!J451+'สระบุรี'!J451+'สิงห์บุรี'!J451+'สุพรรณบุรี'!J451+'อ่างทอง'!J451</f>
        <v>80</v>
      </c>
      <c r="K451" s="196">
        <f t="shared" si="55"/>
        <v>72.72727273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'กาญจนบุรี'!I452+'จันทบุรี'!I452+'ฉะเชิงเทรา'!I452+'ชลบุรี'!I452+'ชัยนาท'!I452+'ตราด'!I452+'นครนายก'!I452+'นครปฐม'!I452+'ปทุมธานี'!I452+'ประจวบคีรีขันธ์'!I452+'ปราจีนบุรี'!I452+'พระนครศรีอยุธยา'!I452+'เพชรบุรี'!I452+'ระยอง'!I452+'ราชบุรี'!I452+'ลพบุรี'!I452+'สระแก้ว'!I452+'สระบุรี'!I452+'สิงห์บุรี'!I452+'สุพรรณบุรี'!I452+'อ่างทอง'!I452</f>
        <v>0</v>
      </c>
      <c r="J452" s="222">
        <f>'กาญจนบุรี'!J452+'จันทบุรี'!J452+'ฉะเชิงเทรา'!J452+'ชลบุรี'!J452+'ชัยนาท'!J452+'ตราด'!J452+'นครนายก'!J452+'นครปฐม'!J452+'ปทุมธานี'!J452+'ประจวบคีรีขันธ์'!J452+'ปราจีนบุรี'!J452+'พระนครศรีอยุธยา'!J452+'เพชรบุรี'!J452+'ระยอง'!J452+'ราชบุรี'!J452+'ลพบุรี'!J452+'สระแก้ว'!J452+'สระบุรี'!J452+'สิงห์บุรี'!J452+'สุพรรณบุรี'!J452+'อ่างทอง'!J452</f>
        <v>0</v>
      </c>
      <c r="K452" s="196">
        <f t="shared" si="55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'กาญจนบุรี'!J453+'จันทบุรี'!J453+'ฉะเชิงเทรา'!J453+'ชลบุรี'!J453+'ชัยนาท'!J453+'ตราด'!J453+'นครนายก'!J453+'นครปฐม'!J453+'ปทุมธานี'!J453+'ประจวบคีรีขันธ์'!J453+'ปราจีนบุรี'!J453+'พระนครศรีอยุธยา'!J453+'เพชรบุรี'!J453+'ระยอง'!J453+'ราชบุรี'!J453+'ลพบุรี'!J453+'สระแก้ว'!J453+'สระบุรี'!J453+'สิงห์บุรี'!J453+'สุพรรณบุรี'!J453+'อ่างทอง'!J453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'กาญจนบุรี'!J454+'จันทบุรี'!J454+'ฉะเชิงเทรา'!J454+'ชลบุรี'!J454+'ชัยนาท'!J454+'ตราด'!J454+'นครนายก'!J454+'นครปฐม'!J454+'ปทุมธานี'!J454+'ประจวบคีรีขันธ์'!J454+'ปราจีนบุรี'!J454+'พระนครศรีอยุธยา'!J454+'เพชรบุรี'!J454+'ระยอง'!J454+'ราชบุรี'!J454+'ลพบุรี'!J454+'สระแก้ว'!J454+'สระบุรี'!J454+'สิงห์บุรี'!J454+'สุพรรณบุรี'!J454+'อ่างทอง'!J454</f>
        <v>1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'กาญจนบุรี'!I455+'จันทบุรี'!I455+'ฉะเชิงเทรา'!I455+'ชลบุรี'!I455+'ชัยนาท'!I455+'ตราด'!I455+'นครนายก'!I455+'นครปฐม'!I455+'ปทุมธานี'!I455+'ประจวบคีรีขันธ์'!I455+'ปราจีนบุรี'!I455+'พระนครศรีอยุธยา'!I455+'เพชรบุรี'!I455+'ระยอง'!I455+'ราชบุรี'!I455+'ลพบุรี'!I455+'สระแก้ว'!I455+'สระบุรี'!I455+'สิงห์บุรี'!I455+'สุพรรณบุรี'!I455+'อ่างทอง'!I455</f>
        <v>537650</v>
      </c>
      <c r="J455" s="404">
        <f>'กาญจนบุรี'!J455+'จันทบุรี'!J455+'ฉะเชิงเทรา'!J455+'ชลบุรี'!J455+'ชัยนาท'!J455+'ตราด'!J455+'นครนายก'!J455+'นครปฐม'!J455+'ปทุมธานี'!J455+'ประจวบคีรีขันธ์'!J455+'ปราจีนบุรี'!J455+'พระนครศรีอยุธยา'!J455+'เพชรบุรี'!J455+'ระยอง'!J455+'ราชบุรี'!J455+'ลพบุรี'!J455+'สระแก้ว'!J455+'สระบุรี'!J455+'สิงห์บุรี'!J455+'สุพรรณบุรี'!J455+'อ่างทอง'!J455</f>
        <v>2359</v>
      </c>
      <c r="K455" s="405">
        <f>IF(I455&gt;0,J455*100/I455,0)</f>
        <v>0.4387612759</v>
      </c>
      <c r="L455" s="406">
        <f>'กาญจนบุรี'!L455+'จันทบุรี'!L455+'ฉะเชิงเทรา'!L455+'ชลบุรี'!L455+'ชัยนาท'!L455+'ตราด'!L455+'นครนายก'!L455+'นครปฐม'!L455+'ปทุมธานี'!L455+'ประจวบคีรีขันธ์'!L455+'ปราจีนบุรี'!L455+'พระนครศรีอยุธยา'!L455+'เพชรบุรี'!L455+'ระยอง'!L455+'ราชบุรี'!L455+'ลพบุรี'!L455+'สระแก้ว'!L455+'สระบุรี'!L455+'สิงห์บุรี'!L455+'สุพรรณบุรี'!L455+'อ่างทอง'!L455</f>
        <v>5513963</v>
      </c>
      <c r="M455" s="406"/>
      <c r="N455" s="406">
        <f>'กาญจนบุรี'!N455+'จันทบุรี'!N455+'ฉะเชิงเทรา'!N455+'ชลบุรี'!N455+'ชัยนาท'!N455+'ตราด'!N455+'นครนายก'!N455+'นครปฐม'!N455+'ปทุมธานี'!N455+'ประจวบคีรีขันธ์'!N455+'ปราจีนบุรี'!N455+'พระนครศรีอยุธยา'!N455+'เพชรบุรี'!N455+'ระยอง'!N455+'ราชบุรี'!N455+'ลพบุรี'!N455+'สระแก้ว'!N455+'สระบุรี'!N455+'สิงห์บุรี'!N455+'สุพรรณบุรี'!N455+'อ่างทอง'!N455</f>
        <v>201952.31</v>
      </c>
      <c r="O455" s="406">
        <f t="shared" ref="O455:O459" si="56">+IF(L455&gt;0,N455*100/L455,0)</f>
        <v>3.662561936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'กาญจนบุรี'!L456+'จันทบุรี'!L456+'ฉะเชิงเทรา'!L456+'ชลบุรี'!L456+'ชัยนาท'!L456+'ตราด'!L456+'นครนายก'!L456+'นครปฐม'!L456+'ปทุมธานี'!L456+'ประจวบคีรีขันธ์'!L456+'ปราจีนบุรี'!L456+'พระนครศรีอยุธยา'!L456+'เพชรบุรี'!L456+'ระยอง'!L456+'ราชบุรี'!L456+'ลพบุรี'!L456+'สระแก้ว'!L456+'สระบุรี'!L456+'สิงห์บุรี'!L456+'สุพรรณบุรี'!L456+'อ่างทอง'!L456</f>
        <v>0</v>
      </c>
      <c r="M456" s="197"/>
      <c r="N456" s="203">
        <f>'กาญจนบุรี'!N456+'จันทบุรี'!N456+'ฉะเชิงเทรา'!N456+'ชลบุรี'!N456+'ชัยนาท'!N456+'ตราด'!N456+'นครนายก'!N456+'นครปฐม'!N456+'ปทุมธานี'!N456+'ประจวบคีรีขันธ์'!N456+'ปราจีนบุรี'!N456+'พระนครศรีอยุธยา'!N456+'เพชรบุรี'!N456+'ระยอง'!N456+'ราชบุรี'!N456+'ลพบุรี'!N456+'สระแก้ว'!N456+'สระบุรี'!N456+'สิงห์บุรี'!N456+'สุพรรณบุรี'!N456+'อ่างทอง'!N456</f>
        <v>0</v>
      </c>
      <c r="O456" s="203">
        <f t="shared" si="56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'กาญจนบุรี'!L457+'จันทบุรี'!L457+'ฉะเชิงเทรา'!L457+'ชลบุรี'!L457+'ชัยนาท'!L457+'ตราด'!L457+'นครนายก'!L457+'นครปฐม'!L457+'ปทุมธานี'!L457+'ประจวบคีรีขันธ์'!L457+'ปราจีนบุรี'!L457+'พระนครศรีอยุธยา'!L457+'เพชรบุรี'!L457+'ระยอง'!L457+'ราชบุรี'!L457+'ลพบุรี'!L457+'สระแก้ว'!L457+'สระบุรี'!L457+'สิงห์บุรี'!L457+'สุพรรณบุรี'!L457+'อ่างทอง'!L457</f>
        <v>5513963</v>
      </c>
      <c r="M457" s="198"/>
      <c r="N457" s="203">
        <f>'กาญจนบุรี'!N457+'จันทบุรี'!N457+'ฉะเชิงเทรา'!N457+'ชลบุรี'!N457+'ชัยนาท'!N457+'ตราด'!N457+'นครนายก'!N457+'นครปฐม'!N457+'ปทุมธานี'!N457+'ประจวบคีรีขันธ์'!N457+'ปราจีนบุรี'!N457+'พระนครศรีอยุธยา'!N457+'เพชรบุรี'!N457+'ระยอง'!N457+'ราชบุรี'!N457+'ลพบุรี'!N457+'สระแก้ว'!N457+'สระบุรี'!N457+'สิงห์บุรี'!N457+'สุพรรณบุรี'!N457+'อ่างทอง'!N457</f>
        <v>201952.31</v>
      </c>
      <c r="O457" s="203">
        <f t="shared" si="56"/>
        <v>3.662561936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'กาญจนบุรี'!L458+'จันทบุรี'!L458+'ฉะเชิงเทรา'!L458+'ชลบุรี'!L458+'ชัยนาท'!L458+'ตราด'!L458+'นครนายก'!L458+'นครปฐม'!L458+'ปทุมธานี'!L458+'ประจวบคีรีขันธ์'!L458+'ปราจีนบุรี'!L458+'พระนครศรีอยุธยา'!L458+'เพชรบุรี'!L458+'ระยอง'!L458+'ราชบุรี'!L458+'ลพบุรี'!L458+'สระแก้ว'!L458+'สระบุรี'!L458+'สิงห์บุรี'!L458+'สุพรรณบุรี'!L458+'อ่างทอง'!L458</f>
        <v>0</v>
      </c>
      <c r="M458" s="203"/>
      <c r="N458" s="203">
        <f>'กาญจนบุรี'!N458+'จันทบุรี'!N458+'ฉะเชิงเทรา'!N458+'ชลบุรี'!N458+'ชัยนาท'!N458+'ตราด'!N458+'นครนายก'!N458+'นครปฐม'!N458+'ปทุมธานี'!N458+'ประจวบคีรีขันธ์'!N458+'ปราจีนบุรี'!N458+'พระนครศรีอยุธยา'!N458+'เพชรบุรี'!N458+'ระยอง'!N458+'ราชบุรี'!N458+'ลพบุรี'!N458+'สระแก้ว'!N458+'สระบุรี'!N458+'สิงห์บุรี'!N458+'สุพรรณบุรี'!N458+'อ่างทอง'!N458</f>
        <v>0</v>
      </c>
      <c r="O458" s="203">
        <f t="shared" si="56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'กาญจนบุรี'!L459+'จันทบุรี'!L459+'ฉะเชิงเทรา'!L459+'ชลบุรี'!L459+'ชัยนาท'!L459+'ตราด'!L459+'นครนายก'!L459+'นครปฐม'!L459+'ปทุมธานี'!L459+'ประจวบคีรีขันธ์'!L459+'ปราจีนบุรี'!L459+'พระนครศรีอยุธยา'!L459+'เพชรบุรี'!L459+'ระยอง'!L459+'ราชบุรี'!L459+'ลพบุรี'!L459+'สระแก้ว'!L459+'สระบุรี'!L459+'สิงห์บุรี'!L459+'สุพรรณบุรี'!L459+'อ่างทอง'!L459</f>
        <v>5513963</v>
      </c>
      <c r="M459" s="203"/>
      <c r="N459" s="203">
        <f>'กาญจนบุรี'!N459+'จันทบุรี'!N459+'ฉะเชิงเทรา'!N459+'ชลบุรี'!N459+'ชัยนาท'!N459+'ตราด'!N459+'นครนายก'!N459+'นครปฐม'!N459+'ปทุมธานี'!N459+'ประจวบคีรีขันธ์'!N459+'ปราจีนบุรี'!N459+'พระนครศรีอยุธยา'!N459+'เพชรบุรี'!N459+'ระยอง'!N459+'ราชบุรี'!N459+'ลพบุรี'!N459+'สระแก้ว'!N459+'สระบุรี'!N459+'สิงห์บุรี'!N459+'สุพรรณบุรี'!N459+'อ่างทอง'!N459</f>
        <v>201952.31</v>
      </c>
      <c r="O459" s="203">
        <f t="shared" si="56"/>
        <v>3.662561936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'กาญจนบุรี'!N460+'จันทบุรี'!N460+'ฉะเชิงเทรา'!N460+'ชลบุรี'!N460+'ชัยนาท'!N460+'ตราด'!N460+'นครนายก'!N460+'นครปฐม'!N460+'ปทุมธานี'!N460+'ประจวบคีรีขันธ์'!N460+'ปราจีนบุรี'!N460+'พระนครศรีอยุธยา'!N460+'เพชรบุรี'!N460+'ระยอง'!N460+'ราชบุรี'!N460+'ลพบุรี'!N460+'สระแก้ว'!N460+'สระบุรี'!N460+'สิงห์บุรี'!N460+'สุพรรณบุรี'!N460+'อ่างทอง'!N460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'กาญจนบุรี'!N461+'จันทบุรี'!N461+'ฉะเชิงเทรา'!N461+'ชลบุรี'!N461+'ชัยนาท'!N461+'ตราด'!N461+'นครนายก'!N461+'นครปฐม'!N461+'ปทุมธานี'!N461+'ประจวบคีรีขันธ์'!N461+'ปราจีนบุรี'!N461+'พระนครศรีอยุธยา'!N461+'เพชรบุรี'!N461+'ระยอง'!N461+'ราชบุรี'!N461+'ลพบุรี'!N461+'สระแก้ว'!N461+'สระบุรี'!N461+'สิงห์บุรี'!N461+'สุพรรณบุรี'!N461+'อ่างทอง'!N461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'กาญจนบุรี'!N462+'จันทบุรี'!N462+'ฉะเชิงเทรา'!N462+'ชลบุรี'!N462+'ชัยนาท'!N462+'ตราด'!N462+'นครนายก'!N462+'นครปฐม'!N462+'ปทุมธานี'!N462+'ประจวบคีรีขันธ์'!N462+'ปราจีนบุรี'!N462+'พระนครศรีอยุธยา'!N462+'เพชรบุรี'!N462+'ระยอง'!N462+'ราชบุรี'!N462+'ลพบุรี'!N462+'สระแก้ว'!N462+'สระบุรี'!N462+'สิงห์บุรี'!N462+'สุพรรณบุรี'!N462+'อ่างทอง'!N462</f>
        <v>88600.31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'กาญจนบุรี'!N463+'จันทบุรี'!N463+'ฉะเชิงเทรา'!N463+'ชลบุรี'!N463+'ชัยนาท'!N463+'ตราด'!N463+'นครนายก'!N463+'นครปฐม'!N463+'ปทุมธานี'!N463+'ประจวบคีรีขันธ์'!N463+'ปราจีนบุรี'!N463+'พระนครศรีอยุธยา'!N463+'เพชรบุรี'!N463+'ระยอง'!N463+'ราชบุรี'!N463+'ลพบุรี'!N463+'สระแก้ว'!N463+'สระบุรี'!N463+'สิงห์บุรี'!N463+'สุพรรณบุรี'!N463+'อ่างทอง'!N463</f>
        <v>113352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'กาญจนบุรี'!I464+'จันทบุรี'!I464+'ฉะเชิงเทรา'!I464+'ชลบุรี'!I464+'ชัยนาท'!I464+'ตราด'!I464+'นครนายก'!I464+'นครปฐม'!I464+'ปทุมธานี'!I464+'ประจวบคีรีขันธ์'!I464+'ปราจีนบุรี'!I464+'พระนครศรีอยุธยา'!I464+'เพชรบุรี'!I464+'ระยอง'!I464+'ราชบุรี'!I464+'ลพบุรี'!I464+'สระแก้ว'!I464+'สระบุรี'!I464+'สิงห์บุรี'!I464+'สุพรรณบุรี'!I464+'อ่างทอง'!I464</f>
        <v>537650</v>
      </c>
      <c r="J464" s="301">
        <f>'กาญจนบุรี'!J464+'จันทบุรี'!J464+'ฉะเชิงเทรา'!J464+'ชลบุรี'!J464+'ชัยนาท'!J464+'ตราด'!J464+'นครนายก'!J464+'นครปฐม'!J464+'ปทุมธานี'!J464+'ประจวบคีรีขันธ์'!J464+'ปราจีนบุรี'!J464+'พระนครศรีอยุธยา'!J464+'เพชรบุรี'!J464+'ระยอง'!J464+'ราชบุรี'!J464+'ลพบุรี'!J464+'สระแก้ว'!J464+'สระบุรี'!J464+'สิงห์บุรี'!J464+'สุพรรณบุรี'!J464+'อ่างทอง'!J464</f>
        <v>2359</v>
      </c>
      <c r="K464" s="302">
        <f t="shared" ref="K464:K515" si="57">IF(I464&gt;0,J464*100/I464,0)</f>
        <v>0.4387612759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'กาญจนบุรี'!I465+'จันทบุรี'!I465+'ฉะเชิงเทรา'!I465+'ชลบุรี'!I465+'ชัยนาท'!I465+'ตราด'!I465+'นครนายก'!I465+'นครปฐม'!I465+'ปทุมธานี'!I465+'ประจวบคีรีขันธ์'!I465+'ปราจีนบุรี'!I465+'พระนครศรีอยุธยา'!I465+'เพชรบุรี'!I465+'ระยอง'!I465+'ราชบุรี'!I465+'ลพบุรี'!I465+'สระแก้ว'!I465+'สระบุรี'!I465+'สิงห์บุรี'!I465+'สุพรรณบุรี'!I465+'อ่างทอง'!I465</f>
        <v>537650</v>
      </c>
      <c r="J465" s="453">
        <f>'กาญจนบุรี'!J465+'จันทบุรี'!J465+'ฉะเชิงเทรา'!J465+'ชลบุรี'!J465+'ชัยนาท'!J465+'ตราด'!J465+'นครนายก'!J465+'นครปฐม'!J465+'ปทุมธานี'!J465+'ประจวบคีรีขันธ์'!J465+'ปราจีนบุรี'!J465+'พระนครศรีอยุธยา'!J465+'เพชรบุรี'!J465+'ระยอง'!J465+'ราชบุรี'!J465+'ลพบุรี'!J465+'สระแก้ว'!J465+'สระบุรี'!J465+'สิงห์บุรี'!J465+'สุพรรณบุรี'!J465+'อ่างทอง'!J465</f>
        <v>30941</v>
      </c>
      <c r="K465" s="236">
        <f t="shared" si="57"/>
        <v>5.754859109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'กาญจนบุรี'!I466+'จันทบุรี'!I466+'ฉะเชิงเทรา'!I466+'ชลบุรี'!I466+'ชัยนาท'!I466+'ตราด'!I466+'นครนายก'!I466+'นครปฐม'!I466+'ปทุมธานี'!I466+'ประจวบคีรีขันธ์'!I466+'ปราจีนบุรี'!I466+'พระนครศรีอยุธยา'!I466+'เพชรบุรี'!I466+'ระยอง'!I466+'ราชบุรี'!I466+'ลพบุรี'!I466+'สระแก้ว'!I466+'สระบุรี'!I466+'สิงห์บุรี'!I466+'สุพรรณบุรี'!I466+'อ่างทอง'!I466</f>
        <v>45637</v>
      </c>
      <c r="J466" s="453">
        <f>'กาญจนบุรี'!J466+'จันทบุรี'!J466+'ฉะเชิงเทรา'!J466+'ชลบุรี'!J466+'ชัยนาท'!J466+'ตราด'!J466+'นครนายก'!J466+'นครปฐม'!J466+'ปทุมธานี'!J466+'ประจวบคีรีขันธ์'!J466+'ปราจีนบุรี'!J466+'พระนครศรีอยุธยา'!J466+'เพชรบุรี'!J466+'ระยอง'!J466+'ราชบุรี'!J466+'ลพบุรี'!J466+'สระแก้ว'!J466+'สระบุรี'!J466+'สิงห์บุรี'!J466+'สุพรรณบุรี'!J466+'อ่างทอง'!J466</f>
        <v>2327</v>
      </c>
      <c r="K466" s="236">
        <f t="shared" si="57"/>
        <v>5.098932883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'กาญจนบุรี'!I467+'จันทบุรี'!I467+'ฉะเชิงเทรา'!I467+'ชลบุรี'!I467+'ชัยนาท'!I467+'ตราด'!I467+'นครนายก'!I467+'นครปฐม'!I467+'ปทุมธานี'!I467+'ประจวบคีรีขันธ์'!I467+'ปราจีนบุรี'!I467+'พระนครศรีอยุธยา'!I467+'เพชรบุรี'!I467+'ระยอง'!I467+'ราชบุรี'!I467+'ลพบุรี'!I467+'สระแก้ว'!I467+'สระบุรี'!I467+'สิงห์บุรี'!I467+'สุพรรณบุรี'!I467+'อ่างทอง'!I467</f>
        <v>0</v>
      </c>
      <c r="J467" s="223">
        <f>'กาญจนบุรี'!J467+'จันทบุรี'!J467+'ฉะเชิงเทรา'!J467+'ชลบุรี'!J467+'ชัยนาท'!J467+'ตราด'!J467+'นครนายก'!J467+'นครปฐม'!J467+'ปทุมธานี'!J467+'ประจวบคีรีขันธ์'!J467+'ปราจีนบุรี'!J467+'พระนครศรีอยุธยา'!J467+'เพชรบุรี'!J467+'ระยอง'!J467+'ราชบุรี'!J467+'ลพบุรี'!J467+'สระแก้ว'!J467+'สระบุรี'!J467+'สิงห์บุรี'!J467+'สุพรรณบุรี'!J467+'อ่างทอง'!J467</f>
        <v>24139</v>
      </c>
      <c r="K467" s="196">
        <f t="shared" si="57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'กาญจนบุรี'!I468+'จันทบุรี'!I468+'ฉะเชิงเทรา'!I468+'ชลบุรี'!I468+'ชัยนาท'!I468+'ตราด'!I468+'นครนายก'!I468+'นครปฐม'!I468+'ปทุมธานี'!I468+'ประจวบคีรีขันธ์'!I468+'ปราจีนบุรี'!I468+'พระนครศรีอยุธยา'!I468+'เพชรบุรี'!I468+'ระยอง'!I468+'ราชบุรี'!I468+'ลพบุรี'!I468+'สระแก้ว'!I468+'สระบุรี'!I468+'สิงห์บุรี'!I468+'สุพรรณบุรี'!I468+'อ่างทอง'!I468</f>
        <v>0</v>
      </c>
      <c r="J468" s="223">
        <f>'กาญจนบุรี'!J468+'จันทบุรี'!J468+'ฉะเชิงเทรา'!J468+'ชลบุรี'!J468+'ชัยนาท'!J468+'ตราด'!J468+'นครนายก'!J468+'นครปฐม'!J468+'ปทุมธานี'!J468+'ประจวบคีรีขันธ์'!J468+'ปราจีนบุรี'!J468+'พระนครศรีอยุธยา'!J468+'เพชรบุรี'!J468+'ระยอง'!J468+'ราชบุรี'!J468+'ลพบุรี'!J468+'สระแก้ว'!J468+'สระบุรี'!J468+'สิงห์บุรี'!J468+'สุพรรณบุรี'!J468+'อ่างทอง'!J468</f>
        <v>1951</v>
      </c>
      <c r="K468" s="196">
        <f t="shared" si="57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'กาญจนบุรี'!I469+'จันทบุรี'!I469+'ฉะเชิงเทรา'!I469+'ชลบุรี'!I469+'ชัยนาท'!I469+'ตราด'!I469+'นครนายก'!I469+'นครปฐม'!I469+'ปทุมธานี'!I469+'ประจวบคีรีขันธ์'!I469+'ปราจีนบุรี'!I469+'พระนครศรีอยุธยา'!I469+'เพชรบุรี'!I469+'ระยอง'!I469+'ราชบุรี'!I469+'ลพบุรี'!I469+'สระแก้ว'!I469+'สระบุรี'!I469+'สิงห์บุรี'!I469+'สุพรรณบุรี'!I469+'อ่างทอง'!I469</f>
        <v>0</v>
      </c>
      <c r="J469" s="223">
        <f>'กาญจนบุรี'!J469+'จันทบุรี'!J469+'ฉะเชิงเทรา'!J469+'ชลบุรี'!J469+'ชัยนาท'!J469+'ตราด'!J469+'นครนายก'!J469+'นครปฐม'!J469+'ปทุมธานี'!J469+'ประจวบคีรีขันธ์'!J469+'ปราจีนบุรี'!J469+'พระนครศรีอยุธยา'!J469+'เพชรบุรี'!J469+'ระยอง'!J469+'ราชบุรี'!J469+'ลพบุรี'!J469+'สระแก้ว'!J469+'สระบุรี'!J469+'สิงห์บุรี'!J469+'สุพรรณบุรี'!J469+'อ่างทอง'!J469</f>
        <v>5616</v>
      </c>
      <c r="K469" s="196">
        <f t="shared" si="57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'กาญจนบุรี'!I470+'จันทบุรี'!I470+'ฉะเชิงเทรา'!I470+'ชลบุรี'!I470+'ชัยนาท'!I470+'ตราด'!I470+'นครนายก'!I470+'นครปฐม'!I470+'ปทุมธานี'!I470+'ประจวบคีรีขันธ์'!I470+'ปราจีนบุรี'!I470+'พระนครศรีอยุธยา'!I470+'เพชรบุรี'!I470+'ระยอง'!I470+'ราชบุรี'!I470+'ลพบุรี'!I470+'สระแก้ว'!I470+'สระบุรี'!I470+'สิงห์บุรี'!I470+'สุพรรณบุรี'!I470+'อ่างทอง'!I470</f>
        <v>0</v>
      </c>
      <c r="J470" s="223">
        <f>'กาญจนบุรี'!J470+'จันทบุรี'!J470+'ฉะเชิงเทรา'!J470+'ชลบุรี'!J470+'ชัยนาท'!J470+'ตราด'!J470+'นครนายก'!J470+'นครปฐม'!J470+'ปทุมธานี'!J470+'ประจวบคีรีขันธ์'!J470+'ปราจีนบุรี'!J470+'พระนครศรีอยุธยา'!J470+'เพชรบุรี'!J470+'ระยอง'!J470+'ราชบุรี'!J470+'ลพบุรี'!J470+'สระแก้ว'!J470+'สระบุรี'!J470+'สิงห์บุรี'!J470+'สุพรรณบุรี'!J470+'อ่างทอง'!J470</f>
        <v>319</v>
      </c>
      <c r="K470" s="196">
        <f t="shared" si="57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'กาญจนบุรี'!I471+'จันทบุรี'!I471+'ฉะเชิงเทรา'!I471+'ชลบุรี'!I471+'ชัยนาท'!I471+'ตราด'!I471+'นครนายก'!I471+'นครปฐม'!I471+'ปทุมธานี'!I471+'ประจวบคีรีขันธ์'!I471+'ปราจีนบุรี'!I471+'พระนครศรีอยุธยา'!I471+'เพชรบุรี'!I471+'ระยอง'!I471+'ราชบุรี'!I471+'ลพบุรี'!I471+'สระแก้ว'!I471+'สระบุรี'!I471+'สิงห์บุรี'!I471+'สุพรรณบุรี'!I471+'อ่างทอง'!I471</f>
        <v>0</v>
      </c>
      <c r="J471" s="223">
        <f>'กาญจนบุรี'!J471+'จันทบุรี'!J471+'ฉะเชิงเทรา'!J471+'ชลบุรี'!J471+'ชัยนาท'!J471+'ตราด'!J471+'นครนายก'!J471+'นครปฐม'!J471+'ปทุมธานี'!J471+'ประจวบคีรีขันธ์'!J471+'ปราจีนบุรี'!J471+'พระนครศรีอยุธยา'!J471+'เพชรบุรี'!J471+'ระยอง'!J471+'ราชบุรี'!J471+'ลพบุรี'!J471+'สระแก้ว'!J471+'สระบุรี'!J471+'สิงห์บุรี'!J471+'สุพรรณบุรี'!J471+'อ่างทอง'!J471</f>
        <v>1186</v>
      </c>
      <c r="K471" s="196">
        <f t="shared" si="57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'กาญจนบุรี'!I472+'จันทบุรี'!I472+'ฉะเชิงเทรา'!I472+'ชลบุรี'!I472+'ชัยนาท'!I472+'ตราด'!I472+'นครนายก'!I472+'นครปฐม'!I472+'ปทุมธานี'!I472+'ประจวบคีรีขันธ์'!I472+'ปราจีนบุรี'!I472+'พระนครศรีอยุธยา'!I472+'เพชรบุรี'!I472+'ระยอง'!I472+'ราชบุรี'!I472+'ลพบุรี'!I472+'สระแก้ว'!I472+'สระบุรี'!I472+'สิงห์บุรี'!I472+'สุพรรณบุรี'!I472+'อ่างทอง'!I472</f>
        <v>0</v>
      </c>
      <c r="J472" s="223">
        <f>'กาญจนบุรี'!J472+'จันทบุรี'!J472+'ฉะเชิงเทรา'!J472+'ชลบุรี'!J472+'ชัยนาท'!J472+'ตราด'!J472+'นครนายก'!J472+'นครปฐม'!J472+'ปทุมธานี'!J472+'ประจวบคีรีขันธ์'!J472+'ปราจีนบุรี'!J472+'พระนครศรีอยุธยา'!J472+'เพชรบุรี'!J472+'ระยอง'!J472+'ราชบุรี'!J472+'ลพบุรี'!J472+'สระแก้ว'!J472+'สระบุรี'!J472+'สิงห์บุรี'!J472+'สุพรรณบุรี'!J472+'อ่างทอง'!J472</f>
        <v>57</v>
      </c>
      <c r="K472" s="196">
        <f t="shared" si="57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'กาญจนบุรี'!I473+'จันทบุรี'!I473+'ฉะเชิงเทรา'!I473+'ชลบุรี'!I473+'ชัยนาท'!I473+'ตราด'!I473+'นครนายก'!I473+'นครปฐม'!I473+'ปทุมธานี'!I473+'ประจวบคีรีขันธ์'!I473+'ปราจีนบุรี'!I473+'พระนครศรีอยุธยา'!I473+'เพชรบุรี'!I473+'ระยอง'!I473+'ราชบุรี'!I473+'ลพบุรี'!I473+'สระแก้ว'!I473+'สระบุรี'!I473+'สิงห์บุรี'!I473+'สุพรรณบุรี'!I473+'อ่างทอง'!I473</f>
        <v>537650</v>
      </c>
      <c r="J473" s="453">
        <f>'กาญจนบุรี'!J473+'จันทบุรี'!J473+'ฉะเชิงเทรา'!J473+'ชลบุรี'!J473+'ชัยนาท'!J473+'ตราด'!J473+'นครนายก'!J473+'นครปฐม'!J473+'ปทุมธานี'!J473+'ประจวบคีรีขันธ์'!J473+'ปราจีนบุรี'!J473+'พระนครศรีอยุธยา'!J473+'เพชรบุรี'!J473+'ระยอง'!J473+'ราชบุรี'!J473+'ลพบุรี'!J473+'สระแก้ว'!J473+'สระบุรี'!J473+'สิงห์บุรี'!J473+'สุพรรณบุรี'!J473+'อ่างทอง'!J473</f>
        <v>0</v>
      </c>
      <c r="K473" s="236">
        <f t="shared" si="57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'กาญจนบุรี'!I474+'จันทบุรี'!I474+'ฉะเชิงเทรา'!I474+'ชลบุรี'!I474+'ชัยนาท'!I474+'ตราด'!I474+'นครนายก'!I474+'นครปฐม'!I474+'ปทุมธานี'!I474+'ประจวบคีรีขันธ์'!I474+'ปราจีนบุรี'!I474+'พระนครศรีอยุธยา'!I474+'เพชรบุรี'!I474+'ระยอง'!I474+'ราชบุรี'!I474+'ลพบุรี'!I474+'สระแก้ว'!I474+'สระบุรี'!I474+'สิงห์บุรี'!I474+'สุพรรณบุรี'!I474+'อ่างทอง'!I474</f>
        <v>45637</v>
      </c>
      <c r="J474" s="453">
        <f>'กาญจนบุรี'!J474+'จันทบุรี'!J474+'ฉะเชิงเทรา'!J474+'ชลบุรี'!J474+'ชัยนาท'!J474+'ตราด'!J474+'นครนายก'!J474+'นครปฐม'!J474+'ปทุมธานี'!J474+'ประจวบคีรีขันธ์'!J474+'ปราจีนบุรี'!J474+'พระนครศรีอยุธยา'!J474+'เพชรบุรี'!J474+'ระยอง'!J474+'ราชบุรี'!J474+'ลพบุรี'!J474+'สระแก้ว'!J474+'สระบุรี'!J474+'สิงห์บุรี'!J474+'สุพรรณบุรี'!J474+'อ่างทอง'!J474</f>
        <v>0</v>
      </c>
      <c r="K474" s="196">
        <f t="shared" si="57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'กาญจนบุรี'!I475+'จันทบุรี'!I475+'ฉะเชิงเทรา'!I475+'ชลบุรี'!I475+'ชัยนาท'!I475+'ตราด'!I475+'นครนายก'!I475+'นครปฐม'!I475+'ปทุมธานี'!I475+'ประจวบคีรีขันธ์'!I475+'ปราจีนบุรี'!I475+'พระนครศรีอยุธยา'!I475+'เพชรบุรี'!I475+'ระยอง'!I475+'ราชบุรี'!I475+'ลพบุรี'!I475+'สระแก้ว'!I475+'สระบุรี'!I475+'สิงห์บุรี'!I475+'สุพรรณบุรี'!I475+'อ่างทอง'!I475</f>
        <v>0</v>
      </c>
      <c r="J475" s="223">
        <f>'กาญจนบุรี'!J475+'จันทบุรี'!J475+'ฉะเชิงเทรา'!J475+'ชลบุรี'!J475+'ชัยนาท'!J475+'ตราด'!J475+'นครนายก'!J475+'นครปฐม'!J475+'ปทุมธานี'!J475+'ประจวบคีรีขันธ์'!J475+'ปราจีนบุรี'!J475+'พระนครศรีอยุธยา'!J475+'เพชรบุรี'!J475+'ระยอง'!J475+'ราชบุรี'!J475+'ลพบุรี'!J475+'สระแก้ว'!J475+'สระบุรี'!J475+'สิงห์บุรี'!J475+'สุพรรณบุรี'!J475+'อ่างทอง'!J475</f>
        <v>0</v>
      </c>
      <c r="K475" s="196">
        <f t="shared" si="57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'กาญจนบุรี'!I476+'จันทบุรี'!I476+'ฉะเชิงเทรา'!I476+'ชลบุรี'!I476+'ชัยนาท'!I476+'ตราด'!I476+'นครนายก'!I476+'นครปฐม'!I476+'ปทุมธานี'!I476+'ประจวบคีรีขันธ์'!I476+'ปราจีนบุรี'!I476+'พระนครศรีอยุธยา'!I476+'เพชรบุรี'!I476+'ระยอง'!I476+'ราชบุรี'!I476+'ลพบุรี'!I476+'สระแก้ว'!I476+'สระบุรี'!I476+'สิงห์บุรี'!I476+'สุพรรณบุรี'!I476+'อ่างทอง'!I476</f>
        <v>0</v>
      </c>
      <c r="J476" s="223">
        <f>'กาญจนบุรี'!J476+'จันทบุรี'!J476+'ฉะเชิงเทรา'!J476+'ชลบุรี'!J476+'ชัยนาท'!J476+'ตราด'!J476+'นครนายก'!J476+'นครปฐม'!J476+'ปทุมธานี'!J476+'ประจวบคีรีขันธ์'!J476+'ปราจีนบุรี'!J476+'พระนครศรีอยุธยา'!J476+'เพชรบุรี'!J476+'ระยอง'!J476+'ราชบุรี'!J476+'ลพบุรี'!J476+'สระแก้ว'!J476+'สระบุรี'!J476+'สิงห์บุรี'!J476+'สุพรรณบุรี'!J476+'อ่างทอง'!J476</f>
        <v>0</v>
      </c>
      <c r="K476" s="196">
        <f t="shared" si="57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'กาญจนบุรี'!I477+'จันทบุรี'!I477+'ฉะเชิงเทรา'!I477+'ชลบุรี'!I477+'ชัยนาท'!I477+'ตราด'!I477+'นครนายก'!I477+'นครปฐม'!I477+'ปทุมธานี'!I477+'ประจวบคีรีขันธ์'!I477+'ปราจีนบุรี'!I477+'พระนครศรีอยุธยา'!I477+'เพชรบุรี'!I477+'ระยอง'!I477+'ราชบุรี'!I477+'ลพบุรี'!I477+'สระแก้ว'!I477+'สระบุรี'!I477+'สิงห์บุรี'!I477+'สุพรรณบุรี'!I477+'อ่างทอง'!I477</f>
        <v>0</v>
      </c>
      <c r="J477" s="223">
        <f>'กาญจนบุรี'!J477+'จันทบุรี'!J477+'ฉะเชิงเทรา'!J477+'ชลบุรี'!J477+'ชัยนาท'!J477+'ตราด'!J477+'นครนายก'!J477+'นครปฐม'!J477+'ปทุมธานี'!J477+'ประจวบคีรีขันธ์'!J477+'ปราจีนบุรี'!J477+'พระนครศรีอยุธยา'!J477+'เพชรบุรี'!J477+'ระยอง'!J477+'ราชบุรี'!J477+'ลพบุรี'!J477+'สระแก้ว'!J477+'สระบุรี'!J477+'สิงห์บุรี'!J477+'สุพรรณบุรี'!J477+'อ่างทอง'!J477</f>
        <v>0</v>
      </c>
      <c r="K477" s="196">
        <f t="shared" si="57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'กาญจนบุรี'!I478+'จันทบุรี'!I478+'ฉะเชิงเทรา'!I478+'ชลบุรี'!I478+'ชัยนาท'!I478+'ตราด'!I478+'นครนายก'!I478+'นครปฐม'!I478+'ปทุมธานี'!I478+'ประจวบคีรีขันธ์'!I478+'ปราจีนบุรี'!I478+'พระนครศรีอยุธยา'!I478+'เพชรบุรี'!I478+'ระยอง'!I478+'ราชบุรี'!I478+'ลพบุรี'!I478+'สระแก้ว'!I478+'สระบุรี'!I478+'สิงห์บุรี'!I478+'สุพรรณบุรี'!I478+'อ่างทอง'!I478</f>
        <v>0</v>
      </c>
      <c r="J478" s="223">
        <f>'กาญจนบุรี'!J478+'จันทบุรี'!J478+'ฉะเชิงเทรา'!J478+'ชลบุรี'!J478+'ชัยนาท'!J478+'ตราด'!J478+'นครนายก'!J478+'นครปฐม'!J478+'ปทุมธานี'!J478+'ประจวบคีรีขันธ์'!J478+'ปราจีนบุรี'!J478+'พระนครศรีอยุธยา'!J478+'เพชรบุรี'!J478+'ระยอง'!J478+'ราชบุรี'!J478+'ลพบุรี'!J478+'สระแก้ว'!J478+'สระบุรี'!J478+'สิงห์บุรี'!J478+'สุพรรณบุรี'!J478+'อ่างทอง'!J478</f>
        <v>0</v>
      </c>
      <c r="K478" s="196">
        <f t="shared" si="57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'กาญจนบุรี'!I479+'จันทบุรี'!I479+'ฉะเชิงเทรา'!I479+'ชลบุรี'!I479+'ชัยนาท'!I479+'ตราด'!I479+'นครนายก'!I479+'นครปฐม'!I479+'ปทุมธานี'!I479+'ประจวบคีรีขันธ์'!I479+'ปราจีนบุรี'!I479+'พระนครศรีอยุธยา'!I479+'เพชรบุรี'!I479+'ระยอง'!I479+'ราชบุรี'!I479+'ลพบุรี'!I479+'สระแก้ว'!I479+'สระบุรี'!I479+'สิงห์บุรี'!I479+'สุพรรณบุรี'!I479+'อ่างทอง'!I479</f>
        <v>0</v>
      </c>
      <c r="J479" s="223">
        <f>'กาญจนบุรี'!J479+'จันทบุรี'!J479+'ฉะเชิงเทรา'!J479+'ชลบุรี'!J479+'ชัยนาท'!J479+'ตราด'!J479+'นครนายก'!J479+'นครปฐม'!J479+'ปทุมธานี'!J479+'ประจวบคีรีขันธ์'!J479+'ปราจีนบุรี'!J479+'พระนครศรีอยุธยา'!J479+'เพชรบุรี'!J479+'ระยอง'!J479+'ราชบุรี'!J479+'ลพบุรี'!J479+'สระแก้ว'!J479+'สระบุรี'!J479+'สิงห์บุรี'!J479+'สุพรรณบุรี'!J479+'อ่างทอง'!J479</f>
        <v>0</v>
      </c>
      <c r="K479" s="196">
        <f t="shared" si="57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'กาญจนบุรี'!I480+'จันทบุรี'!I480+'ฉะเชิงเทรา'!I480+'ชลบุรี'!I480+'ชัยนาท'!I480+'ตราด'!I480+'นครนายก'!I480+'นครปฐม'!I480+'ปทุมธานี'!I480+'ประจวบคีรีขันธ์'!I480+'ปราจีนบุรี'!I480+'พระนครศรีอยุธยา'!I480+'เพชรบุรี'!I480+'ระยอง'!I480+'ราชบุรี'!I480+'ลพบุรี'!I480+'สระแก้ว'!I480+'สระบุรี'!I480+'สิงห์บุรี'!I480+'สุพรรณบุรี'!I480+'อ่างทอง'!I480</f>
        <v>0</v>
      </c>
      <c r="J480" s="223">
        <f>'กาญจนบุรี'!J480+'จันทบุรี'!J480+'ฉะเชิงเทรา'!J480+'ชลบุรี'!J480+'ชัยนาท'!J480+'ตราด'!J480+'นครนายก'!J480+'นครปฐม'!J480+'ปทุมธานี'!J480+'ประจวบคีรีขันธ์'!J480+'ปราจีนบุรี'!J480+'พระนครศรีอยุธยา'!J480+'เพชรบุรี'!J480+'ระยอง'!J480+'ราชบุรี'!J480+'ลพบุรี'!J480+'สระแก้ว'!J480+'สระบุรี'!J480+'สิงห์บุรี'!J480+'สุพรรณบุรี'!J480+'อ่างทอง'!J480</f>
        <v>0</v>
      </c>
      <c r="K480" s="196">
        <f t="shared" si="57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'กาญจนบุรี'!I481+'จันทบุรี'!I481+'ฉะเชิงเทรา'!I481+'ชลบุรี'!I481+'ชัยนาท'!I481+'ตราด'!I481+'นครนายก'!I481+'นครปฐม'!I481+'ปทุมธานี'!I481+'ประจวบคีรีขันธ์'!I481+'ปราจีนบุรี'!I481+'พระนครศรีอยุธยา'!I481+'เพชรบุรี'!I481+'ระยอง'!I481+'ราชบุรี'!I481+'ลพบุรี'!I481+'สระแก้ว'!I481+'สระบุรี'!I481+'สิงห์บุรี'!I481+'สุพรรณบุรี'!I481+'อ่างทอง'!I481</f>
        <v>537650</v>
      </c>
      <c r="J481" s="453">
        <f>'กาญจนบุรี'!J481+'จันทบุรี'!J481+'ฉะเชิงเทรา'!J481+'ชลบุรี'!J481+'ชัยนาท'!J481+'ตราด'!J481+'นครนายก'!J481+'นครปฐม'!J481+'ปทุมธานี'!J481+'ประจวบคีรีขันธ์'!J481+'ปราจีนบุรี'!J481+'พระนครศรีอยุธยา'!J481+'เพชรบุรี'!J481+'ระยอง'!J481+'ราชบุรี'!J481+'ลพบุรี'!J481+'สระแก้ว'!J481+'สระบุรี'!J481+'สิงห์บุรี'!J481+'สุพรรณบุรี'!J481+'อ่างทอง'!J481</f>
        <v>2359</v>
      </c>
      <c r="K481" s="236">
        <f t="shared" si="57"/>
        <v>0.4387612759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'กาญจนบุรี'!I482+'จันทบุรี'!I482+'ฉะเชิงเทรา'!I482+'ชลบุรี'!I482+'ชัยนาท'!I482+'ตราด'!I482+'นครนายก'!I482+'นครปฐม'!I482+'ปทุมธานี'!I482+'ประจวบคีรีขันธ์'!I482+'ปราจีนบุรี'!I482+'พระนครศรีอยุธยา'!I482+'เพชรบุรี'!I482+'ระยอง'!I482+'ราชบุรี'!I482+'ลพบุรี'!I482+'สระแก้ว'!I482+'สระบุรี'!I482+'สิงห์บุรี'!I482+'สุพรรณบุรี'!I482+'อ่างทอง'!I482</f>
        <v>45637</v>
      </c>
      <c r="J482" s="453">
        <f>'กาญจนบุรี'!J482+'จันทบุรี'!J482+'ฉะเชิงเทรา'!J482+'ชลบุรี'!J482+'ชัยนาท'!J482+'ตราด'!J482+'นครนายก'!J482+'นครปฐม'!J482+'ปทุมธานี'!J482+'ประจวบคีรีขันธ์'!J482+'ปราจีนบุรี'!J482+'พระนครศรีอยุธยา'!J482+'เพชรบุรี'!J482+'ระยอง'!J482+'ราชบุรี'!J482+'ลพบุรี'!J482+'สระแก้ว'!J482+'สระบุรี'!J482+'สิงห์บุรี'!J482+'สุพรรณบุรี'!J482+'อ่างทอง'!J482</f>
        <v>311</v>
      </c>
      <c r="K482" s="196">
        <f t="shared" si="57"/>
        <v>0.6814646011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'กาญจนบุรี'!I483+'จันทบุรี'!I483+'ฉะเชิงเทรา'!I483+'ชลบุรี'!I483+'ชัยนาท'!I483+'ตราด'!I483+'นครนายก'!I483+'นครปฐม'!I483+'ปทุมธานี'!I483+'ประจวบคีรีขันธ์'!I483+'ปราจีนบุรี'!I483+'พระนครศรีอยุธยา'!I483+'เพชรบุรี'!I483+'ระยอง'!I483+'ราชบุรี'!I483+'ลพบุรี'!I483+'สระแก้ว'!I483+'สระบุรี'!I483+'สิงห์บุรี'!I483+'สุพรรณบุรี'!I483+'อ่างทอง'!I483</f>
        <v>0</v>
      </c>
      <c r="J483" s="223">
        <f>'กาญจนบุรี'!J483+'จันทบุรี'!J483+'ฉะเชิงเทรา'!J483+'ชลบุรี'!J483+'ชัยนาท'!J483+'ตราด'!J483+'นครนายก'!J483+'นครปฐม'!J483+'ปทุมธานี'!J483+'ประจวบคีรีขันธ์'!J483+'ปราจีนบุรี'!J483+'พระนครศรีอยุธยา'!J483+'เพชรบุรี'!J483+'ระยอง'!J483+'ราชบุรี'!J483+'ลพบุรี'!J483+'สระแก้ว'!J483+'สระบุรี'!J483+'สิงห์บุรี'!J483+'สุพรรณบุรี'!J483+'อ่างทอง'!J483</f>
        <v>2056</v>
      </c>
      <c r="K483" s="196">
        <f t="shared" si="57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'กาญจนบุรี'!I484+'จันทบุรี'!I484+'ฉะเชิงเทรา'!I484+'ชลบุรี'!I484+'ชัยนาท'!I484+'ตราด'!I484+'นครนายก'!I484+'นครปฐม'!I484+'ปทุมธานี'!I484+'ประจวบคีรีขันธ์'!I484+'ปราจีนบุรี'!I484+'พระนครศรีอยุธยา'!I484+'เพชรบุรี'!I484+'ระยอง'!I484+'ราชบุรี'!I484+'ลพบุรี'!I484+'สระแก้ว'!I484+'สระบุรี'!I484+'สิงห์บุรี'!I484+'สุพรรณบุรี'!I484+'อ่างทอง'!I484</f>
        <v>0</v>
      </c>
      <c r="J484" s="223">
        <f>'กาญจนบุรี'!J484+'จันทบุรี'!J484+'ฉะเชิงเทรา'!J484+'ชลบุรี'!J484+'ชัยนาท'!J484+'ตราด'!J484+'นครนายก'!J484+'นครปฐม'!J484+'ปทุมธานี'!J484+'ประจวบคีรีขันธ์'!J484+'ปราจีนบุรี'!J484+'พระนครศรีอยุธยา'!J484+'เพชรบุรี'!J484+'ระยอง'!J484+'ราชบุรี'!J484+'ลพบุรี'!J484+'สระแก้ว'!J484+'สระบุรี'!J484+'สิงห์บุรี'!J484+'สุพรรณบุรี'!J484+'อ่างทอง'!J484</f>
        <v>273</v>
      </c>
      <c r="K484" s="196">
        <f t="shared" si="57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'กาญจนบุรี'!I485+'จันทบุรี'!I485+'ฉะเชิงเทรา'!I485+'ชลบุรี'!I485+'ชัยนาท'!I485+'ตราด'!I485+'นครนายก'!I485+'นครปฐม'!I485+'ปทุมธานี'!I485+'ประจวบคีรีขันธ์'!I485+'ปราจีนบุรี'!I485+'พระนครศรีอยุธยา'!I485+'เพชรบุรี'!I485+'ระยอง'!I485+'ราชบุรี'!I485+'ลพบุรี'!I485+'สระแก้ว'!I485+'สระบุรี'!I485+'สิงห์บุรี'!I485+'สุพรรณบุรี'!I485+'อ่างทอง'!I485</f>
        <v>0</v>
      </c>
      <c r="J485" s="223">
        <f>'กาญจนบุรี'!J485+'จันทบุรี'!J485+'ฉะเชิงเทรา'!J485+'ชลบุรี'!J485+'ชัยนาท'!J485+'ตราด'!J485+'นครนายก'!J485+'นครปฐม'!J485+'ปทุมธานี'!J485+'ประจวบคีรีขันธ์'!J485+'ปราจีนบุรี'!J485+'พระนครศรีอยุธยา'!J485+'เพชรบุรี'!J485+'ระยอง'!J485+'ราชบุรี'!J485+'ลพบุรี'!J485+'สระแก้ว'!J485+'สระบุรี'!J485+'สิงห์บุรี'!J485+'สุพรรณบุรี'!J485+'อ่างทอง'!J485</f>
        <v>301</v>
      </c>
      <c r="K485" s="196">
        <f t="shared" si="57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'กาญจนบุรี'!I486+'จันทบุรี'!I486+'ฉะเชิงเทรา'!I486+'ชลบุรี'!I486+'ชัยนาท'!I486+'ตราด'!I486+'นครนายก'!I486+'นครปฐม'!I486+'ปทุมธานี'!I486+'ประจวบคีรีขันธ์'!I486+'ปราจีนบุรี'!I486+'พระนครศรีอยุธยา'!I486+'เพชรบุรี'!I486+'ระยอง'!I486+'ราชบุรี'!I486+'ลพบุรี'!I486+'สระแก้ว'!I486+'สระบุรี'!I486+'สิงห์บุรี'!I486+'สุพรรณบุรี'!I486+'อ่างทอง'!I486</f>
        <v>0</v>
      </c>
      <c r="J486" s="223">
        <f>'กาญจนบุรี'!J486+'จันทบุรี'!J486+'ฉะเชิงเทรา'!J486+'ชลบุรี'!J486+'ชัยนาท'!J486+'ตราด'!J486+'นครนายก'!J486+'นครปฐม'!J486+'ปทุมธานี'!J486+'ประจวบคีรีขันธ์'!J486+'ปราจีนบุรี'!J486+'พระนครศรีอยุธยา'!J486+'เพชรบุรี'!J486+'ระยอง'!J486+'ราชบุรี'!J486+'ลพบุรี'!J486+'สระแก้ว'!J486+'สระบุรี'!J486+'สิงห์บุรี'!J486+'สุพรรณบุรี'!J486+'อ่างทอง'!J486</f>
        <v>37</v>
      </c>
      <c r="K486" s="196">
        <f t="shared" si="57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'กาญจนบุรี'!I487+'จันทบุรี'!I487+'ฉะเชิงเทรา'!I487+'ชลบุรี'!I487+'ชัยนาท'!I487+'ตราด'!I487+'นครนายก'!I487+'นครปฐม'!I487+'ปทุมธานี'!I487+'ประจวบคีรีขันธ์'!I487+'ปราจีนบุรี'!I487+'พระนครศรีอยุธยา'!I487+'เพชรบุรี'!I487+'ระยอง'!I487+'ราชบุรี'!I487+'ลพบุรี'!I487+'สระแก้ว'!I487+'สระบุรี'!I487+'สิงห์บุรี'!I487+'สุพรรณบุรี'!I487+'อ่างทอง'!I487</f>
        <v>0</v>
      </c>
      <c r="J487" s="453">
        <f>'กาญจนบุรี'!J487+'จันทบุรี'!J487+'ฉะเชิงเทรา'!J487+'ชลบุรี'!J487+'ชัยนาท'!J487+'ตราด'!J487+'นครนายก'!J487+'นครปฐม'!J487+'ปทุมธานี'!J487+'ประจวบคีรีขันธ์'!J487+'ปราจีนบุรี'!J487+'พระนครศรีอยุธยา'!J487+'เพชรบุรี'!J487+'ระยอง'!J487+'ราชบุรี'!J487+'ลพบุรี'!J487+'สระแก้ว'!J487+'สระบุรี'!J487+'สิงห์บุรี'!J487+'สุพรรณบุรี'!J487+'อ่างทอง'!J487</f>
        <v>2</v>
      </c>
      <c r="K487" s="196">
        <f t="shared" si="57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'กาญจนบุรี'!I488+'จันทบุรี'!I488+'ฉะเชิงเทรา'!I488+'ชลบุรี'!I488+'ชัยนาท'!I488+'ตราด'!I488+'นครนายก'!I488+'นครปฐม'!I488+'ปทุมธานี'!I488+'ประจวบคีรีขันธ์'!I488+'ปราจีนบุรี'!I488+'พระนครศรีอยุธยา'!I488+'เพชรบุรี'!I488+'ระยอง'!I488+'ราชบุรี'!I488+'ลพบุรี'!I488+'สระแก้ว'!I488+'สระบุรี'!I488+'สิงห์บุรี'!I488+'สุพรรณบุรี'!I488+'อ่างทอง'!I488</f>
        <v>0</v>
      </c>
      <c r="J488" s="453">
        <f>'กาญจนบุรี'!J488+'จันทบุรี'!J488+'ฉะเชิงเทรา'!J488+'ชลบุรี'!J488+'ชัยนาท'!J488+'ตราด'!J488+'นครนายก'!J488+'นครปฐม'!J488+'ปทุมธานี'!J488+'ประจวบคีรีขันธ์'!J488+'ปราจีนบุรี'!J488+'พระนครศรีอยุธยา'!J488+'เพชรบุรี'!J488+'ระยอง'!J488+'ราชบุรี'!J488+'ลพบุรี'!J488+'สระแก้ว'!J488+'สระบุรี'!J488+'สิงห์บุรี'!J488+'สุพรรณบุรี'!J488+'อ่างทอง'!J488</f>
        <v>1</v>
      </c>
      <c r="K488" s="196">
        <f t="shared" si="57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'กาญจนบุรี'!I489+'จันทบุรี'!I489+'ฉะเชิงเทรา'!I489+'ชลบุรี'!I489+'ชัยนาท'!I489+'ตราด'!I489+'นครนายก'!I489+'นครปฐม'!I489+'ปทุมธานี'!I489+'ประจวบคีรีขันธ์'!I489+'ปราจีนบุรี'!I489+'พระนครศรีอยุธยา'!I489+'เพชรบุรี'!I489+'ระยอง'!I489+'ราชบุรี'!I489+'ลพบุรี'!I489+'สระแก้ว'!I489+'สระบุรี'!I489+'สิงห์บุรี'!I489+'สุพรรณบุรี'!I489+'อ่างทอง'!I489</f>
        <v>0</v>
      </c>
      <c r="J489" s="223">
        <f>'กาญจนบุรี'!J489+'จันทบุรี'!J489+'ฉะเชิงเทรา'!J489+'ชลบุรี'!J489+'ชัยนาท'!J489+'ตราด'!J489+'นครนายก'!J489+'นครปฐม'!J489+'ปทุมธานี'!J489+'ประจวบคีรีขันธ์'!J489+'ปราจีนบุรี'!J489+'พระนครศรีอยุธยา'!J489+'เพชรบุรี'!J489+'ระยอง'!J489+'ราชบุรี'!J489+'ลพบุรี'!J489+'สระแก้ว'!J489+'สระบุรี'!J489+'สิงห์บุรี'!J489+'สุพรรณบุรี'!J489+'อ่างทอง'!J489</f>
        <v>2</v>
      </c>
      <c r="K489" s="196">
        <f t="shared" si="57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'กาญจนบุรี'!I490+'จันทบุรี'!I490+'ฉะเชิงเทรา'!I490+'ชลบุรี'!I490+'ชัยนาท'!I490+'ตราด'!I490+'นครนายก'!I490+'นครปฐม'!I490+'ปทุมธานี'!I490+'ประจวบคีรีขันธ์'!I490+'ปราจีนบุรี'!I490+'พระนครศรีอยุธยา'!I490+'เพชรบุรี'!I490+'ระยอง'!I490+'ราชบุรี'!I490+'ลพบุรี'!I490+'สระแก้ว'!I490+'สระบุรี'!I490+'สิงห์บุรี'!I490+'สุพรรณบุรี'!I490+'อ่างทอง'!I490</f>
        <v>0</v>
      </c>
      <c r="J490" s="223">
        <f>'กาญจนบุรี'!J490+'จันทบุรี'!J490+'ฉะเชิงเทรา'!J490+'ชลบุรี'!J490+'ชัยนาท'!J490+'ตราด'!J490+'นครนายก'!J490+'นครปฐม'!J490+'ปทุมธานี'!J490+'ประจวบคีรีขันธ์'!J490+'ปราจีนบุรี'!J490+'พระนครศรีอยุธยา'!J490+'เพชรบุรี'!J490+'ระยอง'!J490+'ราชบุรี'!J490+'ลพบุรี'!J490+'สระแก้ว'!J490+'สระบุรี'!J490+'สิงห์บุรี'!J490+'สุพรรณบุรี'!J490+'อ่างทอง'!J490</f>
        <v>1</v>
      </c>
      <c r="K490" s="196">
        <f t="shared" si="57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'กาญจนบุรี'!I491+'จันทบุรี'!I491+'ฉะเชิงเทรา'!I491+'ชลบุรี'!I491+'ชัยนาท'!I491+'ตราด'!I491+'นครนายก'!I491+'นครปฐม'!I491+'ปทุมธานี'!I491+'ประจวบคีรีขันธ์'!I491+'ปราจีนบุรี'!I491+'พระนครศรีอยุธยา'!I491+'เพชรบุรี'!I491+'ระยอง'!I491+'ราชบุรี'!I491+'ลพบุรี'!I491+'สระแก้ว'!I491+'สระบุรี'!I491+'สิงห์บุรี'!I491+'สุพรรณบุรี'!I491+'อ่างทอง'!I491</f>
        <v>0</v>
      </c>
      <c r="J491" s="223">
        <f>'กาญจนบุรี'!J491+'จันทบุรี'!J491+'ฉะเชิงเทรา'!J491+'ชลบุรี'!J491+'ชัยนาท'!J491+'ตราด'!J491+'นครนายก'!J491+'นครปฐม'!J491+'ปทุมธานี'!J491+'ประจวบคีรีขันธ์'!J491+'ปราจีนบุรี'!J491+'พระนครศรีอยุธยา'!J491+'เพชรบุรี'!J491+'ระยอง'!J491+'ราชบุรี'!J491+'ลพบุรี'!J491+'สระแก้ว'!J491+'สระบุรี'!J491+'สิงห์บุรี'!J491+'สุพรรณบุรี'!J491+'อ่างทอง'!J491</f>
        <v>0</v>
      </c>
      <c r="K491" s="196">
        <f t="shared" si="57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'กาญจนบุรี'!I492+'จันทบุรี'!I492+'ฉะเชิงเทรา'!I492+'ชลบุรี'!I492+'ชัยนาท'!I492+'ตราด'!I492+'นครนายก'!I492+'นครปฐม'!I492+'ปทุมธานี'!I492+'ประจวบคีรีขันธ์'!I492+'ปราจีนบุรี'!I492+'พระนครศรีอยุธยา'!I492+'เพชรบุรี'!I492+'ระยอง'!I492+'ราชบุรี'!I492+'ลพบุรี'!I492+'สระแก้ว'!I492+'สระบุรี'!I492+'สิงห์บุรี'!I492+'สุพรรณบุรี'!I492+'อ่างทอง'!I492</f>
        <v>0</v>
      </c>
      <c r="J492" s="223">
        <f>'กาญจนบุรี'!J492+'จันทบุรี'!J492+'ฉะเชิงเทรา'!J492+'ชลบุรี'!J492+'ชัยนาท'!J492+'ตราด'!J492+'นครนายก'!J492+'นครปฐม'!J492+'ปทุมธานี'!J492+'ประจวบคีรีขันธ์'!J492+'ปราจีนบุรี'!J492+'พระนครศรีอยุธยา'!J492+'เพชรบุรี'!J492+'ระยอง'!J492+'ราชบุรี'!J492+'ลพบุรี'!J492+'สระแก้ว'!J492+'สระบุรี'!J492+'สิงห์บุรี'!J492+'สุพรรณบุรี'!J492+'อ่างทอง'!J492</f>
        <v>0</v>
      </c>
      <c r="K492" s="196">
        <f t="shared" si="57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'กาญจนบุรี'!I493+'จันทบุรี'!I493+'ฉะเชิงเทรา'!I493+'ชลบุรี'!I493+'ชัยนาท'!I493+'ตราด'!I493+'นครนายก'!I493+'นครปฐม'!I493+'ปทุมธานี'!I493+'ประจวบคีรีขันธ์'!I493+'ปราจีนบุรี'!I493+'พระนครศรีอยุธยา'!I493+'เพชรบุรี'!I493+'ระยอง'!I493+'ราชบุรี'!I493+'ลพบุรี'!I493+'สระแก้ว'!I493+'สระบุรี'!I493+'สิงห์บุรี'!I493+'สุพรรณบุรี'!I493+'อ่างทอง'!I493</f>
        <v>0</v>
      </c>
      <c r="J493" s="223">
        <f>'กาญจนบุรี'!J493+'จันทบุรี'!J493+'ฉะเชิงเทรา'!J493+'ชลบุรี'!J493+'ชัยนาท'!J493+'ตราด'!J493+'นครนายก'!J493+'นครปฐม'!J493+'ปทุมธานี'!J493+'ประจวบคีรีขันธ์'!J493+'ปราจีนบุรี'!J493+'พระนครศรีอยุธยา'!J493+'เพชรบุรี'!J493+'ระยอง'!J493+'ราชบุรี'!J493+'ลพบุรี'!J493+'สระแก้ว'!J493+'สระบุรี'!J493+'สิงห์บุรี'!J493+'สุพรรณบุรี'!J493+'อ่างทอง'!J493</f>
        <v>0</v>
      </c>
      <c r="K493" s="196">
        <f t="shared" si="57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'กาญจนบุรี'!I494+'จันทบุรี'!I494+'ฉะเชิงเทรา'!I494+'ชลบุรี'!I494+'ชัยนาท'!I494+'ตราด'!I494+'นครนายก'!I494+'นครปฐม'!I494+'ปทุมธานี'!I494+'ประจวบคีรีขันธ์'!I494+'ปราจีนบุรี'!I494+'พระนครศรีอยุธยา'!I494+'เพชรบุรี'!I494+'ระยอง'!I494+'ราชบุรี'!I494+'ลพบุรี'!I494+'สระแก้ว'!I494+'สระบุรี'!I494+'สิงห์บุรี'!I494+'สุพรรณบุรี'!I494+'อ่างทอง'!I494</f>
        <v>0</v>
      </c>
      <c r="J494" s="469">
        <f>'กาญจนบุรี'!J494+'จันทบุรี'!J494+'ฉะเชิงเทรา'!J494+'ชลบุรี'!J494+'ชัยนาท'!J494+'ตราด'!J494+'นครนายก'!J494+'นครปฐม'!J494+'ปทุมธานี'!J494+'ประจวบคีรีขันธ์'!J494+'ปราจีนบุรี'!J494+'พระนครศรีอยุธยา'!J494+'เพชรบุรี'!J494+'ระยอง'!J494+'ราชบุรี'!J494+'ลพบุรี'!J494+'สระแก้ว'!J494+'สระบุรี'!J494+'สิงห์บุรี'!J494+'สุพรรณบุรี'!J494+'อ่างทอง'!J494</f>
        <v>0</v>
      </c>
      <c r="K494" s="321">
        <f t="shared" si="57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'กาญจนบุรี'!I495+'จันทบุรี'!I495+'ฉะเชิงเทรา'!I495+'ชลบุรี'!I495+'ชัยนาท'!I495+'ตราด'!I495+'นครนายก'!I495+'นครปฐม'!I495+'ปทุมธานี'!I495+'ประจวบคีรีขันธ์'!I495+'ปราจีนบุรี'!I495+'พระนครศรีอยุธยา'!I495+'เพชรบุรี'!I495+'ระยอง'!I495+'ราชบุรี'!I495+'ลพบุรี'!I495+'สระแก้ว'!I495+'สระบุรี'!I495+'สิงห์บุรี'!I495+'สุพรรณบุรี'!I495+'อ่างทอง'!I495</f>
        <v>0</v>
      </c>
      <c r="J495" s="469">
        <f>'กาญจนบุรี'!J495+'จันทบุรี'!J495+'ฉะเชิงเทรา'!J495+'ชลบุรี'!J495+'ชัยนาท'!J495+'ตราด'!J495+'นครนายก'!J495+'นครปฐม'!J495+'ปทุมธานี'!J495+'ประจวบคีรีขันธ์'!J495+'ปราจีนบุรี'!J495+'พระนครศรีอยุธยา'!J495+'เพชรบุรี'!J495+'ระยอง'!J495+'ราชบุรี'!J495+'ลพบุรี'!J495+'สระแก้ว'!J495+'สระบุรี'!J495+'สิงห์บุรี'!J495+'สุพรรณบุรี'!J495+'อ่างทอง'!J495</f>
        <v>0</v>
      </c>
      <c r="K495" s="196">
        <f t="shared" si="57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'กาญจนบุรี'!I496+'จันทบุรี'!I496+'ฉะเชิงเทรา'!I496+'ชลบุรี'!I496+'ชัยนาท'!I496+'ตราด'!I496+'นครนายก'!I496+'นครปฐม'!I496+'ปทุมธานี'!I496+'ประจวบคีรีขันธ์'!I496+'ปราจีนบุรี'!I496+'พระนครศรีอยุธยา'!I496+'เพชรบุรี'!I496+'ระยอง'!I496+'ราชบุรี'!I496+'ลพบุรี'!I496+'สระแก้ว'!I496+'สระบุรี'!I496+'สิงห์บุรี'!I496+'สุพรรณบุรี'!I496+'อ่างทอง'!I496</f>
        <v>0</v>
      </c>
      <c r="J496" s="469">
        <f>'กาญจนบุรี'!J496+'จันทบุรี'!J496+'ฉะเชิงเทรา'!J496+'ชลบุรี'!J496+'ชัยนาท'!J496+'ตราด'!J496+'นครนายก'!J496+'นครปฐม'!J496+'ปทุมธานี'!J496+'ประจวบคีรีขันธ์'!J496+'ปราจีนบุรี'!J496+'พระนครศรีอยุธยา'!J496+'เพชรบุรี'!J496+'ระยอง'!J496+'ราชบุรี'!J496+'ลพบุรี'!J496+'สระแก้ว'!J496+'สระบุรี'!J496+'สิงห์บุรี'!J496+'สุพรรณบุรี'!J496+'อ่างทอง'!J496</f>
        <v>0</v>
      </c>
      <c r="K496" s="321">
        <f t="shared" si="57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'กาญจนบุรี'!I497+'จันทบุรี'!I497+'ฉะเชิงเทรา'!I497+'ชลบุรี'!I497+'ชัยนาท'!I497+'ตราด'!I497+'นครนายก'!I497+'นครปฐม'!I497+'ปทุมธานี'!I497+'ประจวบคีรีขันธ์'!I497+'ปราจีนบุรี'!I497+'พระนครศรีอยุธยา'!I497+'เพชรบุรี'!I497+'ระยอง'!I497+'ราชบุรี'!I497+'ลพบุรี'!I497+'สระแก้ว'!I497+'สระบุรี'!I497+'สิงห์บุรี'!I497+'สุพรรณบุรี'!I497+'อ่างทอง'!I497</f>
        <v>59971</v>
      </c>
      <c r="J497" s="476">
        <f>'กาญจนบุรี'!J497+'จันทบุรี'!J497+'ฉะเชิงเทรา'!J497+'ชลบุรี'!J497+'ชัยนาท'!J497+'ตราด'!J497+'นครนายก'!J497+'นครปฐม'!J497+'ปทุมธานี'!J497+'ประจวบคีรีขันธ์'!J497+'ปราจีนบุรี'!J497+'พระนครศรีอยุธยา'!J497+'เพชรบุรี'!J497+'ระยอง'!J497+'ราชบุรี'!J497+'ลพบุรี'!J497+'สระแก้ว'!J497+'สระบุรี'!J497+'สิงห์บุรี'!J497+'สุพรรณบุรี'!J497+'อ่างทอง'!J497</f>
        <v>2306</v>
      </c>
      <c r="K497" s="477">
        <f t="shared" si="57"/>
        <v>3.845191843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'กาญจนบุรี'!I498+'จันทบุรี'!I498+'ฉะเชิงเทรา'!I498+'ชลบุรี'!I498+'ชัยนาท'!I498+'ตราด'!I498+'นครนายก'!I498+'นครปฐม'!I498+'ปทุมธานี'!I498+'ประจวบคีรีขันธ์'!I498+'ปราจีนบุรี'!I498+'พระนครศรีอยุธยา'!I498+'เพชรบุรี'!I498+'ระยอง'!I498+'ราชบุรี'!I498+'ลพบุรี'!I498+'สระแก้ว'!I498+'สระบุรี'!I498+'สิงห์บุรี'!I498+'สุพรรณบุรี'!I498+'อ่างทอง'!I498</f>
        <v>59971</v>
      </c>
      <c r="J498" s="453">
        <f>'กาญจนบุรี'!J498+'จันทบุรี'!J498+'ฉะเชิงเทรา'!J498+'ชลบุรี'!J498+'ชัยนาท'!J498+'ตราด'!J498+'นครนายก'!J498+'นครปฐม'!J498+'ปทุมธานี'!J498+'ประจวบคีรีขันธ์'!J498+'ปราจีนบุรี'!J498+'พระนครศรีอยุธยา'!J498+'เพชรบุรี'!J498+'ระยอง'!J498+'ราชบุรี'!J498+'ลพบุรี'!J498+'สระแก้ว'!J498+'สระบุรี'!J498+'สิงห์บุรี'!J498+'สุพรรณบุรี'!J498+'อ่างทอง'!J498</f>
        <v>2306</v>
      </c>
      <c r="K498" s="196">
        <f t="shared" si="57"/>
        <v>3.845191843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'กาญจนบุรี'!I499+'จันทบุรี'!I499+'ฉะเชิงเทรา'!I499+'ชลบุรี'!I499+'ชัยนาท'!I499+'ตราด'!I499+'นครนายก'!I499+'นครปฐม'!I499+'ปทุมธานี'!I499+'ประจวบคีรีขันธ์'!I499+'ปราจีนบุรี'!I499+'พระนครศรีอยุธยา'!I499+'เพชรบุรี'!I499+'ระยอง'!I499+'ราชบุรี'!I499+'ลพบุรี'!I499+'สระแก้ว'!I499+'สระบุรี'!I499+'สิงห์บุรี'!I499+'สุพรรณบุรี'!I499+'อ่างทอง'!I499</f>
        <v>3650</v>
      </c>
      <c r="J499" s="453">
        <f>'กาญจนบุรี'!J499+'จันทบุรี'!J499+'ฉะเชิงเทรา'!J499+'ชลบุรี'!J499+'ชัยนาท'!J499+'ตราด'!J499+'นครนายก'!J499+'นครปฐม'!J499+'ปทุมธานี'!J499+'ประจวบคีรีขันธ์'!J499+'ปราจีนบุรี'!J499+'พระนครศรีอยุธยา'!J499+'เพชรบุรี'!J499+'ระยอง'!J499+'ราชบุรี'!J499+'ลพบุรี'!J499+'สระแก้ว'!J499+'สระบุรี'!J499+'สิงห์บุรี'!J499+'สุพรรณบุรี'!J499+'อ่างทอง'!J499</f>
        <v>223</v>
      </c>
      <c r="K499" s="236">
        <f t="shared" si="57"/>
        <v>6.109589041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'กาญจนบุรี'!I500+'จันทบุรี'!I500+'ฉะเชิงเทรา'!I500+'ชลบุรี'!I500+'ชัยนาท'!I500+'ตราด'!I500+'นครนายก'!I500+'นครปฐม'!I500+'ปทุมธานี'!I500+'ประจวบคีรีขันธ์'!I500+'ปราจีนบุรี'!I500+'พระนครศรีอยุธยา'!I500+'เพชรบุรี'!I500+'ระยอง'!I500+'ราชบุรี'!I500+'ลพบุรี'!I500+'สระแก้ว'!I500+'สระบุรี'!I500+'สิงห์บุรี'!I500+'สุพรรณบุรี'!I500+'อ่างทอง'!I500</f>
        <v>0</v>
      </c>
      <c r="J500" s="195">
        <f>'กาญจนบุรี'!J500+'จันทบุรี'!J500+'ฉะเชิงเทรา'!J500+'ชลบุรี'!J500+'ชัยนาท'!J500+'ตราด'!J500+'นครนายก'!J500+'นครปฐม'!J500+'ปทุมธานี'!J500+'ประจวบคีรีขันธ์'!J500+'ปราจีนบุรี'!J500+'พระนครศรีอยุธยา'!J500+'เพชรบุรี'!J500+'ระยอง'!J500+'ราชบุรี'!J500+'ลพบุรี'!J500+'สระแก้ว'!J500+'สระบุรี'!J500+'สิงห์บุรี'!J500+'สุพรรณบุรี'!J500+'อ่างทอง'!J500</f>
        <v>1676</v>
      </c>
      <c r="K500" s="196">
        <f t="shared" si="57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'กาญจนบุรี'!I501+'จันทบุรี'!I501+'ฉะเชิงเทรา'!I501+'ชลบุรี'!I501+'ชัยนาท'!I501+'ตราด'!I501+'นครนายก'!I501+'นครปฐม'!I501+'ปทุมธานี'!I501+'ประจวบคีรีขันธ์'!I501+'ปราจีนบุรี'!I501+'พระนครศรีอยุธยา'!I501+'เพชรบุรี'!I501+'ระยอง'!I501+'ราชบุรี'!I501+'ลพบุรี'!I501+'สระแก้ว'!I501+'สระบุรี'!I501+'สิงห์บุรี'!I501+'สุพรรณบุรี'!I501+'อ่างทอง'!I501</f>
        <v>0</v>
      </c>
      <c r="J501" s="195">
        <f>'กาญจนบุรี'!J501+'จันทบุรี'!J501+'ฉะเชิงเทรา'!J501+'ชลบุรี'!J501+'ชัยนาท'!J501+'ตราด'!J501+'นครนายก'!J501+'นครปฐม'!J501+'ปทุมธานี'!J501+'ประจวบคีรีขันธ์'!J501+'ปราจีนบุรี'!J501+'พระนครศรีอยุธยา'!J501+'เพชรบุรี'!J501+'ระยอง'!J501+'ราชบุรี'!J501+'ลพบุรี'!J501+'สระแก้ว'!J501+'สระบุรี'!J501+'สิงห์บุรี'!J501+'สุพรรณบุรี'!J501+'อ่างทอง'!J501</f>
        <v>116</v>
      </c>
      <c r="K501" s="196">
        <f t="shared" si="57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'กาญจนบุรี'!I502+'จันทบุรี'!I502+'ฉะเชิงเทรา'!I502+'ชลบุรี'!I502+'ชัยนาท'!I502+'ตราด'!I502+'นครนายก'!I502+'นครปฐม'!I502+'ปทุมธานี'!I502+'ประจวบคีรีขันธ์'!I502+'ปราจีนบุรี'!I502+'พระนครศรีอยุธยา'!I502+'เพชรบุรี'!I502+'ระยอง'!I502+'ราชบุรี'!I502+'ลพบุรี'!I502+'สระแก้ว'!I502+'สระบุรี'!I502+'สิงห์บุรี'!I502+'สุพรรณบุรี'!I502+'อ่างทอง'!I502</f>
        <v>0</v>
      </c>
      <c r="J502" s="223">
        <f>'กาญจนบุรี'!J502+'จันทบุรี'!J502+'ฉะเชิงเทรา'!J502+'ชลบุรี'!J502+'ชัยนาท'!J502+'ตราด'!J502+'นครนายก'!J502+'นครปฐม'!J502+'ปทุมธานี'!J502+'ประจวบคีรีขันธ์'!J502+'ปราจีนบุรี'!J502+'พระนครศรีอยุธยา'!J502+'เพชรบุรี'!J502+'ระยอง'!J502+'ราชบุรี'!J502+'ลพบุรี'!J502+'สระแก้ว'!J502+'สระบุรี'!J502+'สิงห์บุรี'!J502+'สุพรรณบุรี'!J502+'อ่างทอง'!J502</f>
        <v>1671</v>
      </c>
      <c r="K502" s="196">
        <f t="shared" si="57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'กาญจนบุรี'!I503+'จันทบุรี'!I503+'ฉะเชิงเทรา'!I503+'ชลบุรี'!I503+'ชัยนาท'!I503+'ตราด'!I503+'นครนายก'!I503+'นครปฐม'!I503+'ปทุมธานี'!I503+'ประจวบคีรีขันธ์'!I503+'ปราจีนบุรี'!I503+'พระนครศรีอยุธยา'!I503+'เพชรบุรี'!I503+'ระยอง'!I503+'ราชบุรี'!I503+'ลพบุรี'!I503+'สระแก้ว'!I503+'สระบุรี'!I503+'สิงห์บุรี'!I503+'สุพรรณบุรี'!I503+'อ่างทอง'!I503</f>
        <v>0</v>
      </c>
      <c r="J503" s="232">
        <f>'กาญจนบุรี'!J503+'จันทบุรี'!J503+'ฉะเชิงเทรา'!J503+'ชลบุรี'!J503+'ชัยนาท'!J503+'ตราด'!J503+'นครนายก'!J503+'นครปฐม'!J503+'ปทุมธานี'!J503+'ประจวบคีรีขันธ์'!J503+'ปราจีนบุรี'!J503+'พระนครศรีอยุธยา'!J503+'เพชรบุรี'!J503+'ระยอง'!J503+'ราชบุรี'!J503+'ลพบุรี'!J503+'สระแก้ว'!J503+'สระบุรี'!J503+'สิงห์บุรี'!J503+'สุพรรณบุรี'!J503+'อ่างทอง'!J503</f>
        <v>115</v>
      </c>
      <c r="K503" s="196">
        <f t="shared" si="57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'กาญจนบุรี'!I504+'จันทบุรี'!I504+'ฉะเชิงเทรา'!I504+'ชลบุรี'!I504+'ชัยนาท'!I504+'ตราด'!I504+'นครนายก'!I504+'นครปฐม'!I504+'ปทุมธานี'!I504+'ประจวบคีรีขันธ์'!I504+'ปราจีนบุรี'!I504+'พระนครศรีอยุธยา'!I504+'เพชรบุรี'!I504+'ระยอง'!I504+'ราชบุรี'!I504+'ลพบุรี'!I504+'สระแก้ว'!I504+'สระบุรี'!I504+'สิงห์บุรี'!I504+'สุพรรณบุรี'!I504+'อ่างทอง'!I504</f>
        <v>0</v>
      </c>
      <c r="J504" s="223">
        <f>'กาญจนบุรี'!J504+'จันทบุรี'!J504+'ฉะเชิงเทรา'!J504+'ชลบุรี'!J504+'ชัยนาท'!J504+'ตราด'!J504+'นครนายก'!J504+'นครปฐม'!J504+'ปทุมธานี'!J504+'ประจวบคีรีขันธ์'!J504+'ปราจีนบุรี'!J504+'พระนครศรีอยุธยา'!J504+'เพชรบุรี'!J504+'ระยอง'!J504+'ราชบุรี'!J504+'ลพบุรี'!J504+'สระแก้ว'!J504+'สระบุรี'!J504+'สิงห์บุรี'!J504+'สุพรรณบุรี'!J504+'อ่างทอง'!J504</f>
        <v>5</v>
      </c>
      <c r="K504" s="196">
        <f t="shared" si="57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'กาญจนบุรี'!I505+'จันทบุรี'!I505+'ฉะเชิงเทรา'!I505+'ชลบุรี'!I505+'ชัยนาท'!I505+'ตราด'!I505+'นครนายก'!I505+'นครปฐม'!I505+'ปทุมธานี'!I505+'ประจวบคีรีขันธ์'!I505+'ปราจีนบุรี'!I505+'พระนครศรีอยุธยา'!I505+'เพชรบุรี'!I505+'ระยอง'!I505+'ราชบุรี'!I505+'ลพบุรี'!I505+'สระแก้ว'!I505+'สระบุรี'!I505+'สิงห์บุรี'!I505+'สุพรรณบุรี'!I505+'อ่างทอง'!I505</f>
        <v>0</v>
      </c>
      <c r="J505" s="232">
        <f>'กาญจนบุรี'!J505+'จันทบุรี'!J505+'ฉะเชิงเทรา'!J505+'ชลบุรี'!J505+'ชัยนาท'!J505+'ตราด'!J505+'นครนายก'!J505+'นครปฐม'!J505+'ปทุมธานี'!J505+'ประจวบคีรีขันธ์'!J505+'ปราจีนบุรี'!J505+'พระนครศรีอยุธยา'!J505+'เพชรบุรี'!J505+'ระยอง'!J505+'ราชบุรี'!J505+'ลพบุรี'!J505+'สระแก้ว'!J505+'สระบุรี'!J505+'สิงห์บุรี'!J505+'สุพรรณบุรี'!J505+'อ่างทอง'!J505</f>
        <v>1</v>
      </c>
      <c r="K505" s="196">
        <f t="shared" si="57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'กาญจนบุรี'!I506+'จันทบุรี'!I506+'ฉะเชิงเทรา'!I506+'ชลบุรี'!I506+'ชัยนาท'!I506+'ตราด'!I506+'นครนายก'!I506+'นครปฐม'!I506+'ปทุมธานี'!I506+'ประจวบคีรีขันธ์'!I506+'ปราจีนบุรี'!I506+'พระนครศรีอยุธยา'!I506+'เพชรบุรี'!I506+'ระยอง'!I506+'ราชบุรี'!I506+'ลพบุรี'!I506+'สระแก้ว'!I506+'สระบุรี'!I506+'สิงห์บุรี'!I506+'สุพรรณบุรี'!I506+'อ่างทอง'!I506</f>
        <v>0</v>
      </c>
      <c r="J506" s="223">
        <f>'กาญจนบุรี'!J506+'จันทบุรี'!J506+'ฉะเชิงเทรา'!J506+'ชลบุรี'!J506+'ชัยนาท'!J506+'ตราด'!J506+'นครนายก'!J506+'นครปฐม'!J506+'ปทุมธานี'!J506+'ประจวบคีรีขันธ์'!J506+'ปราจีนบุรี'!J506+'พระนครศรีอยุธยา'!J506+'เพชรบุรี'!J506+'ระยอง'!J506+'ราชบุรี'!J506+'ลพบุรี'!J506+'สระแก้ว'!J506+'สระบุรี'!J506+'สิงห์บุรี'!J506+'สุพรรณบุรี'!J506+'อ่างทอง'!J506</f>
        <v>0</v>
      </c>
      <c r="K506" s="196">
        <f t="shared" si="57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'กาญจนบุรี'!I507+'จันทบุรี'!I507+'ฉะเชิงเทรา'!I507+'ชลบุรี'!I507+'ชัยนาท'!I507+'ตราด'!I507+'นครนายก'!I507+'นครปฐม'!I507+'ปทุมธานี'!I507+'ประจวบคีรีขันธ์'!I507+'ปราจีนบุรี'!I507+'พระนครศรีอยุธยา'!I507+'เพชรบุรี'!I507+'ระยอง'!I507+'ราชบุรี'!I507+'ลพบุรี'!I507+'สระแก้ว'!I507+'สระบุรี'!I507+'สิงห์บุรี'!I507+'สุพรรณบุรี'!I507+'อ่างทอง'!I507</f>
        <v>0</v>
      </c>
      <c r="J507" s="232">
        <f>'กาญจนบุรี'!J507+'จันทบุรี'!J507+'ฉะเชิงเทรา'!J507+'ชลบุรี'!J507+'ชัยนาท'!J507+'ตราด'!J507+'นครนายก'!J507+'นครปฐม'!J507+'ปทุมธานี'!J507+'ประจวบคีรีขันธ์'!J507+'ปราจีนบุรี'!J507+'พระนครศรีอยุธยา'!J507+'เพชรบุรี'!J507+'ระยอง'!J507+'ราชบุรี'!J507+'ลพบุรี'!J507+'สระแก้ว'!J507+'สระบุรี'!J507+'สิงห์บุรี'!J507+'สุพรรณบุรี'!J507+'อ่างทอง'!J507</f>
        <v>0</v>
      </c>
      <c r="K507" s="196">
        <f t="shared" si="57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'กาญจนบุรี'!I508+'จันทบุรี'!I508+'ฉะเชิงเทรา'!I508+'ชลบุรี'!I508+'ชัยนาท'!I508+'ตราด'!I508+'นครนายก'!I508+'นครปฐม'!I508+'ปทุมธานี'!I508+'ประจวบคีรีขันธ์'!I508+'ปราจีนบุรี'!I508+'พระนครศรีอยุธยา'!I508+'เพชรบุรี'!I508+'ระยอง'!I508+'ราชบุรี'!I508+'ลพบุรี'!I508+'สระแก้ว'!I508+'สระบุรี'!I508+'สิงห์บุรี'!I508+'สุพรรณบุรี'!I508+'อ่างทอง'!I508</f>
        <v>0</v>
      </c>
      <c r="J508" s="195">
        <f>'กาญจนบุรี'!J508+'จันทบุรี'!J508+'ฉะเชิงเทรา'!J508+'ชลบุรี'!J508+'ชัยนาท'!J508+'ตราด'!J508+'นครนายก'!J508+'นครปฐม'!J508+'ปทุมธานี'!J508+'ประจวบคีรีขันธ์'!J508+'ปราจีนบุรี'!J508+'พระนครศรีอยุธยา'!J508+'เพชรบุรี'!J508+'ระยอง'!J508+'ราชบุรี'!J508+'ลพบุรี'!J508+'สระแก้ว'!J508+'สระบุรี'!J508+'สิงห์บุรี'!J508+'สุพรรณบุรี'!J508+'อ่างทอง'!J508</f>
        <v>126</v>
      </c>
      <c r="K508" s="196">
        <f t="shared" si="57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'กาญจนบุรี'!I509+'จันทบุรี'!I509+'ฉะเชิงเทรา'!I509+'ชลบุรี'!I509+'ชัยนาท'!I509+'ตราด'!I509+'นครนายก'!I509+'นครปฐม'!I509+'ปทุมธานี'!I509+'ประจวบคีรีขันธ์'!I509+'ปราจีนบุรี'!I509+'พระนครศรีอยุธยา'!I509+'เพชรบุรี'!I509+'ระยอง'!I509+'ราชบุรี'!I509+'ลพบุรี'!I509+'สระแก้ว'!I509+'สระบุรี'!I509+'สิงห์บุรี'!I509+'สุพรรณบุรี'!I509+'อ่างทอง'!I509</f>
        <v>0</v>
      </c>
      <c r="J509" s="195">
        <f>'กาญจนบุรี'!J509+'จันทบุรี'!J509+'ฉะเชิงเทรา'!J509+'ชลบุรี'!J509+'ชัยนาท'!J509+'ตราด'!J509+'นครนายก'!J509+'นครปฐม'!J509+'ปทุมธานี'!J509+'ประจวบคีรีขันธ์'!J509+'ปราจีนบุรี'!J509+'พระนครศรีอยุธยา'!J509+'เพชรบุรี'!J509+'ระยอง'!J509+'ราชบุรี'!J509+'ลพบุรี'!J509+'สระแก้ว'!J509+'สระบุรี'!J509+'สิงห์บุรี'!J509+'สุพรรณบุรี'!J509+'อ่างทอง'!J509</f>
        <v>6</v>
      </c>
      <c r="K509" s="196">
        <f t="shared" si="57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'กาญจนบุรี'!I510+'จันทบุรี'!I510+'ฉะเชิงเทรา'!I510+'ชลบุรี'!I510+'ชัยนาท'!I510+'ตราด'!I510+'นครนายก'!I510+'นครปฐม'!I510+'ปทุมธานี'!I510+'ประจวบคีรีขันธ์'!I510+'ปราจีนบุรี'!I510+'พระนครศรีอยุธยา'!I510+'เพชรบุรี'!I510+'ระยอง'!I510+'ราชบุรี'!I510+'ลพบุรี'!I510+'สระแก้ว'!I510+'สระบุรี'!I510+'สิงห์บุรี'!I510+'สุพรรณบุรี'!I510+'อ่างทอง'!I510</f>
        <v>0</v>
      </c>
      <c r="J510" s="232">
        <f>'กาญจนบุรี'!J510+'จันทบุรี'!J510+'ฉะเชิงเทรา'!J510+'ชลบุรี'!J510+'ชัยนาท'!J510+'ตราด'!J510+'นครนายก'!J510+'นครปฐม'!J510+'ปทุมธานี'!J510+'ประจวบคีรีขันธ์'!J510+'ปราจีนบุรี'!J510+'พระนครศรีอยุธยา'!J510+'เพชรบุรี'!J510+'ระยอง'!J510+'ราชบุรี'!J510+'ลพบุรี'!J510+'สระแก้ว'!J510+'สระบุรี'!J510+'สิงห์บุรี'!J510+'สุพรรณบุรี'!J510+'อ่างทอง'!J510</f>
        <v>126</v>
      </c>
      <c r="K510" s="196">
        <f t="shared" si="57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'กาญจนบุรี'!I511+'จันทบุรี'!I511+'ฉะเชิงเทรา'!I511+'ชลบุรี'!I511+'ชัยนาท'!I511+'ตราด'!I511+'นครนายก'!I511+'นครปฐม'!I511+'ปทุมธานี'!I511+'ประจวบคีรีขันธ์'!I511+'ปราจีนบุรี'!I511+'พระนครศรีอยุธยา'!I511+'เพชรบุรี'!I511+'ระยอง'!I511+'ราชบุรี'!I511+'ลพบุรี'!I511+'สระแก้ว'!I511+'สระบุรี'!I511+'สิงห์บุรี'!I511+'สุพรรณบุรี'!I511+'อ่างทอง'!I511</f>
        <v>0</v>
      </c>
      <c r="J511" s="232">
        <f>'กาญจนบุรี'!J511+'จันทบุรี'!J511+'ฉะเชิงเทรา'!J511+'ชลบุรี'!J511+'ชัยนาท'!J511+'ตราด'!J511+'นครนายก'!J511+'นครปฐม'!J511+'ปทุมธานี'!J511+'ประจวบคีรีขันธ์'!J511+'ปราจีนบุรี'!J511+'พระนครศรีอยุธยา'!J511+'เพชรบุรี'!J511+'ระยอง'!J511+'ราชบุรี'!J511+'ลพบุรี'!J511+'สระแก้ว'!J511+'สระบุรี'!J511+'สิงห์บุรี'!J511+'สุพรรณบุรี'!J511+'อ่างทอง'!J511</f>
        <v>6</v>
      </c>
      <c r="K511" s="196">
        <f t="shared" si="57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'กาญจนบุรี'!I512+'จันทบุรี'!I512+'ฉะเชิงเทรา'!I512+'ชลบุรี'!I512+'ชัยนาท'!I512+'ตราด'!I512+'นครนายก'!I512+'นครปฐม'!I512+'ปทุมธานี'!I512+'ประจวบคีรีขันธ์'!I512+'ปราจีนบุรี'!I512+'พระนครศรีอยุธยา'!I512+'เพชรบุรี'!I512+'ระยอง'!I512+'ราชบุรี'!I512+'ลพบุรี'!I512+'สระแก้ว'!I512+'สระบุรี'!I512+'สิงห์บุรี'!I512+'สุพรรณบุรี'!I512+'อ่างทอง'!I512</f>
        <v>0</v>
      </c>
      <c r="J512" s="232">
        <f>'กาญจนบุรี'!J512+'จันทบุรี'!J512+'ฉะเชิงเทรา'!J512+'ชลบุรี'!J512+'ชัยนาท'!J512+'ตราด'!J512+'นครนายก'!J512+'นครปฐม'!J512+'ปทุมธานี'!J512+'ประจวบคีรีขันธ์'!J512+'ปราจีนบุรี'!J512+'พระนครศรีอยุธยา'!J512+'เพชรบุรี'!J512+'ระยอง'!J512+'ราชบุรี'!J512+'ลพบุรี'!J512+'สระแก้ว'!J512+'สระบุรี'!J512+'สิงห์บุรี'!J512+'สุพรรณบุรี'!J512+'อ่างทอง'!J512</f>
        <v>0</v>
      </c>
      <c r="K512" s="196">
        <f t="shared" si="57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'กาญจนบุรี'!I513+'จันทบุรี'!I513+'ฉะเชิงเทรา'!I513+'ชลบุรี'!I513+'ชัยนาท'!I513+'ตราด'!I513+'นครนายก'!I513+'นครปฐม'!I513+'ปทุมธานี'!I513+'ประจวบคีรีขันธ์'!I513+'ปราจีนบุรี'!I513+'พระนครศรีอยุธยา'!I513+'เพชรบุรี'!I513+'ระยอง'!I513+'ราชบุรี'!I513+'ลพบุรี'!I513+'สระแก้ว'!I513+'สระบุรี'!I513+'สิงห์บุรี'!I513+'สุพรรณบุรี'!I513+'อ่างทอง'!I513</f>
        <v>0</v>
      </c>
      <c r="J513" s="232">
        <f>'กาญจนบุรี'!J513+'จันทบุรี'!J513+'ฉะเชิงเทรา'!J513+'ชลบุรี'!J513+'ชัยนาท'!J513+'ตราด'!J513+'นครนายก'!J513+'นครปฐม'!J513+'ปทุมธานี'!J513+'ประจวบคีรีขันธ์'!J513+'ปราจีนบุรี'!J513+'พระนครศรีอยุธยา'!J513+'เพชรบุรี'!J513+'ระยอง'!J513+'ราชบุรี'!J513+'ลพบุรี'!J513+'สระแก้ว'!J513+'สระบุรี'!J513+'สิงห์บุรี'!J513+'สุพรรณบุรี'!J513+'อ่างทอง'!J513</f>
        <v>0</v>
      </c>
      <c r="K513" s="196">
        <f t="shared" si="57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'กาญจนบุรี'!I514+'จันทบุรี'!I514+'ฉะเชิงเทรา'!I514+'ชลบุรี'!I514+'ชัยนาท'!I514+'ตราด'!I514+'นครนายก'!I514+'นครปฐม'!I514+'ปทุมธานี'!I514+'ประจวบคีรีขันธ์'!I514+'ปราจีนบุรี'!I514+'พระนครศรีอยุธยา'!I514+'เพชรบุรี'!I514+'ระยอง'!I514+'ราชบุรี'!I514+'ลพบุรี'!I514+'สระแก้ว'!I514+'สระบุรี'!I514+'สิงห์บุรี'!I514+'สุพรรณบุรี'!I514+'อ่างทอง'!I514</f>
        <v>0</v>
      </c>
      <c r="J514" s="232">
        <f>'กาญจนบุรี'!J514+'จันทบุรี'!J514+'ฉะเชิงเทรา'!J514+'ชลบุรี'!J514+'ชัยนาท'!J514+'ตราด'!J514+'นครนายก'!J514+'นครปฐม'!J514+'ปทุมธานี'!J514+'ประจวบคีรีขันธ์'!J514+'ปราจีนบุรี'!J514+'พระนครศรีอยุธยา'!J514+'เพชรบุรี'!J514+'ระยอง'!J514+'ราชบุรี'!J514+'ลพบุรี'!J514+'สระแก้ว'!J514+'สระบุรี'!J514+'สิงห์บุรี'!J514+'สุพรรณบุรี'!J514+'อ่างทอง'!J514</f>
        <v>504</v>
      </c>
      <c r="K514" s="196">
        <f t="shared" si="57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'กาญจนบุรี'!I515+'จันทบุรี'!I515+'ฉะเชิงเทรา'!I515+'ชลบุรี'!I515+'ชัยนาท'!I515+'ตราด'!I515+'นครนายก'!I515+'นครปฐม'!I515+'ปทุมธานี'!I515+'ประจวบคีรีขันธ์'!I515+'ปราจีนบุรี'!I515+'พระนครศรีอยุธยา'!I515+'เพชรบุรี'!I515+'ระยอง'!I515+'ราชบุรี'!I515+'ลพบุรี'!I515+'สระแก้ว'!I515+'สระบุรี'!I515+'สิงห์บุรี'!I515+'สุพรรณบุรี'!I515+'อ่างทอง'!I515</f>
        <v>0</v>
      </c>
      <c r="J515" s="232">
        <f>'กาญจนบุรี'!J515+'จันทบุรี'!J515+'ฉะเชิงเทรา'!J515+'ชลบุรี'!J515+'ชัยนาท'!J515+'ตราด'!J515+'นครนายก'!J515+'นครปฐม'!J515+'ปทุมธานี'!J515+'ประจวบคีรีขันธ์'!J515+'ปราจีนบุรี'!J515+'พระนครศรีอยุธยา'!J515+'เพชรบุรี'!J515+'ระยอง'!J515+'ราชบุรี'!J515+'ลพบุรี'!J515+'สระแก้ว'!J515+'สระบุรี'!J515+'สิงห์บุรี'!J515+'สุพรรณบุรี'!J515+'อ่างทอง'!J515</f>
        <v>101</v>
      </c>
      <c r="K515" s="196">
        <f t="shared" si="57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'กาญจนบุรี'!I516+'จันทบุรี'!I516+'ฉะเชิงเทรา'!I516+'ชลบุรี'!I516+'ชัยนาท'!I516+'ตราด'!I516+'นครนายก'!I516+'นครปฐม'!I516+'ปทุมธานี'!I516+'ประจวบคีรีขันธ์'!I516+'ปราจีนบุรี'!I516+'พระนครศรีอยุธยา'!I516+'เพชรบุรี'!I516+'ระยอง'!I516+'ราชบุรี'!I516+'ลพบุรี'!I516+'สระแก้ว'!I516+'สระบุรี'!I516+'สิงห์บุรี'!I516+'สุพรรณบุรี'!I516+'อ่างทอง'!I516</f>
        <v>0</v>
      </c>
      <c r="J516" s="301">
        <f>'กาญจนบุรี'!J516+'จันทบุรี'!J516+'ฉะเชิงเทรา'!J516+'ชลบุรี'!J516+'ชัยนาท'!J516+'ตราด'!J516+'นครนายก'!J516+'นครปฐม'!J516+'ปทุมธานี'!J516+'ประจวบคีรีขันธ์'!J516+'ปราจีนบุรี'!J516+'พระนครศรีอยุธยา'!J516+'เพชรบุรี'!J516+'ระยอง'!J516+'ราชบุรี'!J516+'ลพบุรี'!J516+'สระแก้ว'!J516+'สระบุรี'!J516+'สิงห์บุรี'!J516+'สุพรรณบุรี'!J516+'อ่างทอง'!J516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'กาญจนบุรี'!I517+'จันทบุรี'!I517+'ฉะเชิงเทรา'!I517+'ชลบุรี'!I517+'ชัยนาท'!I517+'ตราด'!I517+'นครนายก'!I517+'นครปฐม'!I517+'ปทุมธานี'!I517+'ประจวบคีรีขันธ์'!I517+'ปราจีนบุรี'!I517+'พระนครศรีอยุธยา'!I517+'เพชรบุรี'!I517+'ระยอง'!I517+'ราชบุรี'!I517+'ลพบุรี'!I517+'สระแก้ว'!I517+'สระบุรี'!I517+'สิงห์บุรี'!I517+'สุพรรณบุรี'!I517+'อ่างทอง'!I517</f>
        <v>0</v>
      </c>
      <c r="J517" s="317">
        <f>'กาญจนบุรี'!J517+'จันทบุรี'!J517+'ฉะเชิงเทรา'!J517+'ชลบุรี'!J517+'ชัยนาท'!J517+'ตราด'!J517+'นครนายก'!J517+'นครปฐม'!J517+'ปทุมธานี'!J517+'ประจวบคีรีขันธ์'!J517+'ปราจีนบุรี'!J517+'พระนครศรีอยุธยา'!J517+'เพชรบุรี'!J517+'ระยอง'!J517+'ราชบุรี'!J517+'ลพบุรี'!J517+'สระแก้ว'!J517+'สระบุรี'!J517+'สิงห์บุรี'!J517+'สุพรรณบุรี'!J517+'อ่างทอง'!J517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'กาญจนบุรี'!I518+'จันทบุรี'!I518+'ฉะเชิงเทรา'!I518+'ชลบุรี'!I518+'ชัยนาท'!I518+'ตราด'!I518+'นครนายก'!I518+'นครปฐม'!I518+'ปทุมธานี'!I518+'ประจวบคีรีขันธ์'!I518+'ปราจีนบุรี'!I518+'พระนครศรีอยุธยา'!I518+'เพชรบุรี'!I518+'ระยอง'!I518+'ราชบุรี'!I518+'ลพบุรี'!I518+'สระแก้ว'!I518+'สระบุรี'!I518+'สิงห์บุรี'!I518+'สุพรรณบุรี'!I518+'อ่างทอง'!I518</f>
        <v>0</v>
      </c>
      <c r="J518" s="317">
        <f>'กาญจนบุรี'!J518+'จันทบุรี'!J518+'ฉะเชิงเทรา'!J518+'ชลบุรี'!J518+'ชัยนาท'!J518+'ตราด'!J518+'นครนายก'!J518+'นครปฐม'!J518+'ปทุมธานี'!J518+'ประจวบคีรีขันธ์'!J518+'ปราจีนบุรี'!J518+'พระนครศรีอยุธยา'!J518+'เพชรบุรี'!J518+'ระยอง'!J518+'ราชบุรี'!J518+'ลพบุรี'!J518+'สระแก้ว'!J518+'สระบุรี'!J518+'สิงห์บุรี'!J518+'สุพรรณบุรี'!J518+'อ่างทอง'!J518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'กาญจนบุรี'!I519+'จันทบุรี'!I519+'ฉะเชิงเทรา'!I519+'ชลบุรี'!I519+'ชัยนาท'!I519+'ตราด'!I519+'นครนายก'!I519+'นครปฐม'!I519+'ปทุมธานี'!I519+'ประจวบคีรีขันธ์'!I519+'ปราจีนบุรี'!I519+'พระนครศรีอยุธยา'!I519+'เพชรบุรี'!I519+'ระยอง'!I519+'ราชบุรี'!I519+'ลพบุรี'!I519+'สระแก้ว'!I519+'สระบุรี'!I519+'สิงห์บุรี'!I519+'สุพรรณบุรี'!I519+'อ่างทอง'!I519</f>
        <v>0</v>
      </c>
      <c r="J519" s="222">
        <f>'กาญจนบุรี'!J519+'จันทบุรี'!J519+'ฉะเชิงเทรา'!J519+'ชลบุรี'!J519+'ชัยนาท'!J519+'ตราด'!J519+'นครนายก'!J519+'นครปฐม'!J519+'ปทุมธานี'!J519+'ประจวบคีรีขันธ์'!J519+'ปราจีนบุรี'!J519+'พระนครศรีอยุธยา'!J519+'เพชรบุรี'!J519+'ระยอง'!J519+'ราชบุรี'!J519+'ลพบุรี'!J519+'สระแก้ว'!J519+'สระบุรี'!J519+'สิงห์บุรี'!J519+'สุพรรณบุรี'!J519+'อ่างทอง'!J519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'กาญจนบุรี'!I520+'จันทบุรี'!I520+'ฉะเชิงเทรา'!I520+'ชลบุรี'!I520+'ชัยนาท'!I520+'ตราด'!I520+'นครนายก'!I520+'นครปฐม'!I520+'ปทุมธานี'!I520+'ประจวบคีรีขันธ์'!I520+'ปราจีนบุรี'!I520+'พระนครศรีอยุธยา'!I520+'เพชรบุรี'!I520+'ระยอง'!I520+'ราชบุรี'!I520+'ลพบุรี'!I520+'สระแก้ว'!I520+'สระบุรี'!I520+'สิงห์บุรี'!I520+'สุพรรณบุรี'!I520+'อ่างทอง'!I520</f>
        <v>0</v>
      </c>
      <c r="J520" s="222">
        <f>'กาญจนบุรี'!J520+'จันทบุรี'!J520+'ฉะเชิงเทรา'!J520+'ชลบุรี'!J520+'ชัยนาท'!J520+'ตราด'!J520+'นครนายก'!J520+'นครปฐม'!J520+'ปทุมธานี'!J520+'ประจวบคีรีขันธ์'!J520+'ปราจีนบุรี'!J520+'พระนครศรีอยุธยา'!J520+'เพชรบุรี'!J520+'ระยอง'!J520+'ราชบุรี'!J520+'ลพบุรี'!J520+'สระแก้ว'!J520+'สระบุรี'!J520+'สิงห์บุรี'!J520+'สุพรรณบุรี'!J520+'อ่างทอง'!J520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'กาญจนบุรี'!I521+'จันทบุรี'!I521+'ฉะเชิงเทรา'!I521+'ชลบุรี'!I521+'ชัยนาท'!I521+'ตราด'!I521+'นครนายก'!I521+'นครปฐม'!I521+'ปทุมธานี'!I521+'ประจวบคีรีขันธ์'!I521+'ปราจีนบุรี'!I521+'พระนครศรีอยุธยา'!I521+'เพชรบุรี'!I521+'ระยอง'!I521+'ราชบุรี'!I521+'ลพบุรี'!I521+'สระแก้ว'!I521+'สระบุรี'!I521+'สิงห์บุรี'!I521+'สุพรรณบุรี'!I521+'อ่างทอง'!I521</f>
        <v>0</v>
      </c>
      <c r="J521" s="222">
        <f>'กาญจนบุรี'!J521+'จันทบุรี'!J521+'ฉะเชิงเทรา'!J521+'ชลบุรี'!J521+'ชัยนาท'!J521+'ตราด'!J521+'นครนายก'!J521+'นครปฐม'!J521+'ปทุมธานี'!J521+'ประจวบคีรีขันธ์'!J521+'ปราจีนบุรี'!J521+'พระนครศรีอยุธยา'!J521+'เพชรบุรี'!J521+'ระยอง'!J521+'ราชบุรี'!J521+'ลพบุรี'!J521+'สระแก้ว'!J521+'สระบุรี'!J521+'สิงห์บุรี'!J521+'สุพรรณบุรี'!J521+'อ่างทอง'!J521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'กาญจนบุรี'!I522+'จันทบุรี'!I522+'ฉะเชิงเทรา'!I522+'ชลบุรี'!I522+'ชัยนาท'!I522+'ตราด'!I522+'นครนายก'!I522+'นครปฐม'!I522+'ปทุมธานี'!I522+'ประจวบคีรีขันธ์'!I522+'ปราจีนบุรี'!I522+'พระนครศรีอยุธยา'!I522+'เพชรบุรี'!I522+'ระยอง'!I522+'ราชบุรี'!I522+'ลพบุรี'!I522+'สระแก้ว'!I522+'สระบุรี'!I522+'สิงห์บุรี'!I522+'สุพรรณบุรี'!I522+'อ่างทอง'!I522</f>
        <v>0</v>
      </c>
      <c r="J522" s="222">
        <f>'กาญจนบุรี'!J522+'จันทบุรี'!J522+'ฉะเชิงเทรา'!J522+'ชลบุรี'!J522+'ชัยนาท'!J522+'ตราด'!J522+'นครนายก'!J522+'นครปฐม'!J522+'ปทุมธานี'!J522+'ประจวบคีรีขันธ์'!J522+'ปราจีนบุรี'!J522+'พระนครศรีอยุธยา'!J522+'เพชรบุรี'!J522+'ระยอง'!J522+'ราชบุรี'!J522+'ลพบุรี'!J522+'สระแก้ว'!J522+'สระบุรี'!J522+'สิงห์บุรี'!J522+'สุพรรณบุรี'!J522+'อ่างทอง'!J522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'กาญจนบุรี'!I523+'จันทบุรี'!I523+'ฉะเชิงเทรา'!I523+'ชลบุรี'!I523+'ชัยนาท'!I523+'ตราด'!I523+'นครนายก'!I523+'นครปฐม'!I523+'ปทุมธานี'!I523+'ประจวบคีรีขันธ์'!I523+'ปราจีนบุรี'!I523+'พระนครศรีอยุธยา'!I523+'เพชรบุรี'!I523+'ระยอง'!I523+'ราชบุรี'!I523+'ลพบุรี'!I523+'สระแก้ว'!I523+'สระบุรี'!I523+'สิงห์บุรี'!I523+'สุพรรณบุรี'!I523+'อ่างทอง'!I523</f>
        <v>0</v>
      </c>
      <c r="J523" s="222">
        <f>'กาญจนบุรี'!J523+'จันทบุรี'!J523+'ฉะเชิงเทรา'!J523+'ชลบุรี'!J523+'ชัยนาท'!J523+'ตราด'!J523+'นครนายก'!J523+'นครปฐม'!J523+'ปทุมธานี'!J523+'ประจวบคีรีขันธ์'!J523+'ปราจีนบุรี'!J523+'พระนครศรีอยุธยา'!J523+'เพชรบุรี'!J523+'ระยอง'!J523+'ราชบุรี'!J523+'ลพบุรี'!J523+'สระแก้ว'!J523+'สระบุรี'!J523+'สิงห์บุรี'!J523+'สุพรรณบุรี'!J523+'อ่างทอง'!J523</f>
        <v>49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'กาญจนบุรี'!I524+'จันทบุรี'!I524+'ฉะเชิงเทรา'!I524+'ชลบุรี'!I524+'ชัยนาท'!I524+'ตราด'!I524+'นครนายก'!I524+'นครปฐม'!I524+'ปทุมธานี'!I524+'ประจวบคีรีขันธ์'!I524+'ปราจีนบุรี'!I524+'พระนครศรีอยุธยา'!I524+'เพชรบุรี'!I524+'ระยอง'!I524+'ราชบุรี'!I524+'ลพบุรี'!I524+'สระแก้ว'!I524+'สระบุรี'!I524+'สิงห์บุรี'!I524+'สุพรรณบุรี'!I524+'อ่างทอง'!I524</f>
        <v>0</v>
      </c>
      <c r="J524" s="222">
        <f>'กาญจนบุรี'!J524+'จันทบุรี'!J524+'ฉะเชิงเทรา'!J524+'ชลบุรี'!J524+'ชัยนาท'!J524+'ตราด'!J524+'นครนายก'!J524+'นครปฐม'!J524+'ปทุมธานี'!J524+'ประจวบคีรีขันธ์'!J524+'ปราจีนบุรี'!J524+'พระนครศรีอยุธยา'!J524+'เพชรบุรี'!J524+'ระยอง'!J524+'ราชบุรี'!J524+'ลพบุรี'!J524+'สระแก้ว'!J524+'สระบุรี'!J524+'สิงห์บุรี'!J524+'สุพรรณบุรี'!J524+'อ่างทอง'!J524</f>
        <v>4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'กาญจนบุรี'!I525+'จันทบุรี'!I525+'ฉะเชิงเทรา'!I525+'ชลบุรี'!I525+'ชัยนาท'!I525+'ตราด'!I525+'นครนายก'!I525+'นครปฐม'!I525+'ปทุมธานี'!I525+'ประจวบคีรีขันธ์'!I525+'ปราจีนบุรี'!I525+'พระนครศรีอยุธยา'!I525+'เพชรบุรี'!I525+'ระยอง'!I525+'ราชบุรี'!I525+'ลพบุรี'!I525+'สระแก้ว'!I525+'สระบุรี'!I525+'สิงห์บุรี'!I525+'สุพรรณบุรี'!I525+'อ่างทอง'!I525</f>
        <v>49</v>
      </c>
      <c r="J525" s="317">
        <f>'กาญจนบุรี'!J525+'จันทบุรี'!J525+'ฉะเชิงเทรา'!J525+'ชลบุรี'!J525+'ชัยนาท'!J525+'ตราด'!J525+'นครนายก'!J525+'นครปฐม'!J525+'ปทุมธานี'!J525+'ประจวบคีรีขันธ์'!J525+'ปราจีนบุรี'!J525+'พระนครศรีอยุธยา'!J525+'เพชรบุรี'!J525+'ระยอง'!J525+'ราชบุรี'!J525+'ลพบุรี'!J525+'สระแก้ว'!J525+'สระบุรี'!J525+'สิงห์บุรี'!J525+'สุพรรณบุรี'!J525+'อ่างทอง'!J525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'กาญจนบุรี'!I526+'จันทบุรี'!I526+'ฉะเชิงเทรา'!I526+'ชลบุรี'!I526+'ชัยนาท'!I526+'ตราด'!I526+'นครนายก'!I526+'นครปฐม'!I526+'ปทุมธานี'!I526+'ประจวบคีรีขันธ์'!I526+'ปราจีนบุรี'!I526+'พระนครศรีอยุธยา'!I526+'เพชรบุรี'!I526+'ระยอง'!I526+'ราชบุรี'!I526+'ลพบุรี'!I526+'สระแก้ว'!I526+'สระบุรี'!I526+'สิงห์บุรี'!I526+'สุพรรณบุรี'!I526+'อ่างทอง'!I526</f>
        <v>4</v>
      </c>
      <c r="J526" s="317">
        <f>'กาญจนบุรี'!J526+'จันทบุรี'!J526+'ฉะเชิงเทรา'!J526+'ชลบุรี'!J526+'ชัยนาท'!J526+'ตราด'!J526+'นครนายก'!J526+'นครปฐม'!J526+'ปทุมธานี'!J526+'ประจวบคีรีขันธ์'!J526+'ปราจีนบุรี'!J526+'พระนครศรีอยุธยา'!J526+'เพชรบุรี'!J526+'ระยอง'!J526+'ราชบุรี'!J526+'ลพบุรี'!J526+'สระแก้ว'!J526+'สระบุรี'!J526+'สิงห์บุรี'!J526+'สุพรรณบุรี'!J526+'อ่างทอง'!J526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'กาญจนบุรี'!I527+'จันทบุรี'!I527+'ฉะเชิงเทรา'!I527+'ชลบุรี'!I527+'ชัยนาท'!I527+'ตราด'!I527+'นครนายก'!I527+'นครปฐม'!I527+'ปทุมธานี'!I527+'ประจวบคีรีขันธ์'!I527+'ปราจีนบุรี'!I527+'พระนครศรีอยุธยา'!I527+'เพชรบุรี'!I527+'ระยอง'!I527+'ราชบุรี'!I527+'ลพบุรี'!I527+'สระแก้ว'!I527+'สระบุรี'!I527+'สิงห์บุรี'!I527+'สุพรรณบุรี'!I527+'อ่างทอง'!I527</f>
        <v>0</v>
      </c>
      <c r="J527" s="232">
        <f>'กาญจนบุรี'!J527+'จันทบุรี'!J527+'ฉะเชิงเทรา'!J527+'ชลบุรี'!J527+'ชัยนาท'!J527+'ตราด'!J527+'นครนายก'!J527+'นครปฐม'!J527+'ปทุมธานี'!J527+'ประจวบคีรีขันธ์'!J527+'ปราจีนบุรี'!J527+'พระนครศรีอยุธยา'!J527+'เพชรบุรี'!J527+'ระยอง'!J527+'ราชบุรี'!J527+'ลพบุรี'!J527+'สระแก้ว'!J527+'สระบุรี'!J527+'สิงห์บุรี'!J527+'สุพรรณบุรี'!J527+'อ่างทอง'!J527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'กาญจนบุรี'!I528+'จันทบุรี'!I528+'ฉะเชิงเทรา'!I528+'ชลบุรี'!I528+'ชัยนาท'!I528+'ตราด'!I528+'นครนายก'!I528+'นครปฐม'!I528+'ปทุมธานี'!I528+'ประจวบคีรีขันธ์'!I528+'ปราจีนบุรี'!I528+'พระนครศรีอยุธยา'!I528+'เพชรบุรี'!I528+'ระยอง'!I528+'ราชบุรี'!I528+'ลพบุรี'!I528+'สระแก้ว'!I528+'สระบุรี'!I528+'สิงห์บุรี'!I528+'สุพรรณบุรี'!I528+'อ่างทอง'!I528</f>
        <v>0</v>
      </c>
      <c r="J528" s="232">
        <f>'กาญจนบุรี'!J528+'จันทบุรี'!J528+'ฉะเชิงเทรา'!J528+'ชลบุรี'!J528+'ชัยนาท'!J528+'ตราด'!J528+'นครนายก'!J528+'นครปฐม'!J528+'ปทุมธานี'!J528+'ประจวบคีรีขันธ์'!J528+'ปราจีนบุรี'!J528+'พระนครศรีอยุธยา'!J528+'เพชรบุรี'!J528+'ระยอง'!J528+'ราชบุรี'!J528+'ลพบุรี'!J528+'สระแก้ว'!J528+'สระบุรี'!J528+'สิงห์บุรี'!J528+'สุพรรณบุรี'!J528+'อ่างทอง'!J528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'กาญจนบุรี'!I529+'จันทบุรี'!I529+'ฉะเชิงเทรา'!I529+'ชลบุรี'!I529+'ชัยนาท'!I529+'ตราด'!I529+'นครนายก'!I529+'นครปฐม'!I529+'ปทุมธานี'!I529+'ประจวบคีรีขันธ์'!I529+'ปราจีนบุรี'!I529+'พระนครศรีอยุธยา'!I529+'เพชรบุรี'!I529+'ระยอง'!I529+'ราชบุรี'!I529+'ลพบุรี'!I529+'สระแก้ว'!I529+'สระบุรี'!I529+'สิงห์บุรี'!I529+'สุพรรณบุรี'!I529+'อ่างทอง'!I529</f>
        <v>0</v>
      </c>
      <c r="J529" s="232">
        <f>'กาญจนบุรี'!J529+'จันทบุรี'!J529+'ฉะเชิงเทรา'!J529+'ชลบุรี'!J529+'ชัยนาท'!J529+'ตราด'!J529+'นครนายก'!J529+'นครปฐม'!J529+'ปทุมธานี'!J529+'ประจวบคีรีขันธ์'!J529+'ปราจีนบุรี'!J529+'พระนครศรีอยุธยา'!J529+'เพชรบุรี'!J529+'ระยอง'!J529+'ราชบุรี'!J529+'ลพบุรี'!J529+'สระแก้ว'!J529+'สระบุรี'!J529+'สิงห์บุรี'!J529+'สุพรรณบุรี'!J529+'อ่างทอง'!J529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'กาญจนบุรี'!I530+'จันทบุรี'!I530+'ฉะเชิงเทรา'!I530+'ชลบุรี'!I530+'ชัยนาท'!I530+'ตราด'!I530+'นครนายก'!I530+'นครปฐม'!I530+'ปทุมธานี'!I530+'ประจวบคีรีขันธ์'!I530+'ปราจีนบุรี'!I530+'พระนครศรีอยุธยา'!I530+'เพชรบุรี'!I530+'ระยอง'!I530+'ราชบุรี'!I530+'ลพบุรี'!I530+'สระแก้ว'!I530+'สระบุรี'!I530+'สิงห์บุรี'!I530+'สุพรรณบุรี'!I530+'อ่างทอง'!I530</f>
        <v>0</v>
      </c>
      <c r="J530" s="232">
        <f>'กาญจนบุรี'!J530+'จันทบุรี'!J530+'ฉะเชิงเทรา'!J530+'ชลบุรี'!J530+'ชัยนาท'!J530+'ตราด'!J530+'นครนายก'!J530+'นครปฐม'!J530+'ปทุมธานี'!J530+'ประจวบคีรีขันธ์'!J530+'ปราจีนบุรี'!J530+'พระนครศรีอยุธยา'!J530+'เพชรบุรี'!J530+'ระยอง'!J530+'ราชบุรี'!J530+'ลพบุรี'!J530+'สระแก้ว'!J530+'สระบุรี'!J530+'สิงห์บุรี'!J530+'สุพรรณบุรี'!J530+'อ่างทอง'!J530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'กาญจนบุรี'!I531+'จันทบุรี'!I531+'ฉะเชิงเทรา'!I531+'ชลบุรี'!I531+'ชัยนาท'!I531+'ตราด'!I531+'นครนายก'!I531+'นครปฐม'!I531+'ปทุมธานี'!I531+'ประจวบคีรีขันธ์'!I531+'ปราจีนบุรี'!I531+'พระนครศรีอยุธยา'!I531+'เพชรบุรี'!I531+'ระยอง'!I531+'ราชบุรี'!I531+'ลพบุรี'!I531+'สระแก้ว'!I531+'สระบุรี'!I531+'สิงห์บุรี'!I531+'สุพรรณบุรี'!I531+'อ่างทอง'!I531</f>
        <v>0</v>
      </c>
      <c r="J531" s="232">
        <f>'กาญจนบุรี'!J531+'จันทบุรี'!J531+'ฉะเชิงเทรา'!J531+'ชลบุรี'!J531+'ชัยนาท'!J531+'ตราด'!J531+'นครนายก'!J531+'นครปฐม'!J531+'ปทุมธานี'!J531+'ประจวบคีรีขันธ์'!J531+'ปราจีนบุรี'!J531+'พระนครศรีอยุธยา'!J531+'เพชรบุรี'!J531+'ระยอง'!J531+'ราชบุรี'!J531+'ลพบุรี'!J531+'สระแก้ว'!J531+'สระบุรี'!J531+'สิงห์บุรี'!J531+'สุพรรณบุรี'!J531+'อ่างทอง'!J531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'กาญจนบุรี'!I532+'จันทบุรี'!I532+'ฉะเชิงเทรา'!I532+'ชลบุรี'!I532+'ชัยนาท'!I532+'ตราด'!I532+'นครนายก'!I532+'นครปฐม'!I532+'ปทุมธานี'!I532+'ประจวบคีรีขันธ์'!I532+'ปราจีนบุรี'!I532+'พระนครศรีอยุธยา'!I532+'เพชรบุรี'!I532+'ระยอง'!I532+'ราชบุรี'!I532+'ลพบุรี'!I532+'สระแก้ว'!I532+'สระบุรี'!I532+'สิงห์บุรี'!I532+'สุพรรณบุรี'!I532+'อ่างทอง'!I532</f>
        <v>0</v>
      </c>
      <c r="J532" s="499">
        <f>'กาญจนบุรี'!J532+'จันทบุรี'!J532+'ฉะเชิงเทรา'!J532+'ชลบุรี'!J532+'ชัยนาท'!J532+'ตราด'!J532+'นครนายก'!J532+'นครปฐม'!J532+'ปทุมธานี'!J532+'ประจวบคีรีขันธ์'!J532+'ปราจีนบุรี'!J532+'พระนครศรีอยุธยา'!J532+'เพชรบุรี'!J532+'ระยอง'!J532+'ราชบุรี'!J532+'ลพบุรี'!J532+'สระแก้ว'!J532+'สระบุรี'!J532+'สิงห์บุรี'!J532+'สุพรรณบุรี'!J532+'อ่างทอง'!J532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'กาญจนบุรี'!I533+'จันทบุรี'!I533+'ฉะเชิงเทรา'!I533+'ชลบุรี'!I533+'ชัยนาท'!I533+'ตราด'!I533+'นครนายก'!I533+'นครปฐม'!I533+'ปทุมธานี'!I533+'ประจวบคีรีขันธ์'!I533+'ปราจีนบุรี'!I533+'พระนครศรีอยุธยา'!I533+'เพชรบุรี'!I533+'ระยอง'!I533+'ราชบุรี'!I533+'ลพบุรี'!I533+'สระแก้ว'!I533+'สระบุรี'!I533+'สิงห์บุรี'!I533+'สุพรรณบุรี'!I533+'อ่างทอง'!I533</f>
        <v>441</v>
      </c>
      <c r="J533" s="443">
        <f>'กาญจนบุรี'!J533+'จันทบุรี'!J533+'ฉะเชิงเทรา'!J533+'ชลบุรี'!J533+'ชัยนาท'!J533+'ตราด'!J533+'นครนายก'!J533+'นครปฐม'!J533+'ปทุมธานี'!J533+'ประจวบคีรีขันธ์'!J533+'ปราจีนบุรี'!J533+'พระนครศรีอยุธยา'!J533+'เพชรบุรี'!J533+'ระยอง'!J533+'ราชบุรี'!J533+'ลพบุรี'!J533+'สระแก้ว'!J533+'สระบุรี'!J533+'สิงห์บุรี'!J533+'สุพรรณบุรี'!J533+'อ่างทอง'!J533</f>
        <v>294</v>
      </c>
      <c r="K533" s="444">
        <f>IF(I533&gt;0,J533*100/I533,0)</f>
        <v>66.66666667</v>
      </c>
      <c r="L533" s="445">
        <f>'กาญจนบุรี'!L533+'จันทบุรี'!L533+'ฉะเชิงเทรา'!L533+'ชลบุรี'!L533+'ชัยนาท'!L533+'ตราด'!L533+'นครนายก'!L533+'นครปฐม'!L533+'ปทุมธานี'!L533+'ประจวบคีรีขันธ์'!L533+'ปราจีนบุรี'!L533+'พระนครศรีอยุธยา'!L533+'เพชรบุรี'!L533+'ระยอง'!L533+'ราชบุรี'!L533+'ลพบุรี'!L533+'สระแก้ว'!L533+'สระบุรี'!L533+'สิงห์บุรี'!L533+'สุพรรณบุรี'!L533+'อ่างทอง'!L533</f>
        <v>703290</v>
      </c>
      <c r="M533" s="445"/>
      <c r="N533" s="445">
        <f>'กาญจนบุรี'!N533+'จันทบุรี'!N533+'ฉะเชิงเทรา'!N533+'ชลบุรี'!N533+'ชัยนาท'!N533+'ตราด'!N533+'นครนายก'!N533+'นครปฐม'!N533+'ปทุมธานี'!N533+'ประจวบคีรีขันธ์'!N533+'ปราจีนบุรี'!N533+'พระนครศรีอยุธยา'!N533+'เพชรบุรี'!N533+'ระยอง'!N533+'ราชบุรี'!N533+'ลพบุรี'!N533+'สระแก้ว'!N533+'สระบุรี'!N533+'สิงห์บุรี'!N533+'สุพรรณบุรี'!N533+'อ่างทอง'!N533</f>
        <v>337697.99</v>
      </c>
      <c r="O533" s="445">
        <f t="shared" ref="O533:O537" si="58">+IF(L533&gt;0,N533*100/L533,0)</f>
        <v>48.01689061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'กาญจนบุรี'!L534+'จันทบุรี'!L534+'ฉะเชิงเทรา'!L534+'ชลบุรี'!L534+'ชัยนาท'!L534+'ตราด'!L534+'นครนายก'!L534+'นครปฐม'!L534+'ปทุมธานี'!L534+'ประจวบคีรีขันธ์'!L534+'ปราจีนบุรี'!L534+'พระนครศรีอยุธยา'!L534+'เพชรบุรี'!L534+'ระยอง'!L534+'ราชบุรี'!L534+'ลพบุรี'!L534+'สระแก้ว'!L534+'สระบุรี'!L534+'สิงห์บุรี'!L534+'สุพรรณบุรี'!L534+'อ่างทอง'!L534</f>
        <v>0</v>
      </c>
      <c r="M534" s="197"/>
      <c r="N534" s="203">
        <f>'กาญจนบุรี'!N534+'จันทบุรี'!N534+'ฉะเชิงเทรา'!N534+'ชลบุรี'!N534+'ชัยนาท'!N534+'ตราด'!N534+'นครนายก'!N534+'นครปฐม'!N534+'ปทุมธานี'!N534+'ประจวบคีรีขันธ์'!N534+'ปราจีนบุรี'!N534+'พระนครศรีอยุธยา'!N534+'เพชรบุรี'!N534+'ระยอง'!N534+'ราชบุรี'!N534+'ลพบุรี'!N534+'สระแก้ว'!N534+'สระบุรี'!N534+'สิงห์บุรี'!N534+'สุพรรณบุรี'!N534+'อ่างทอง'!N534</f>
        <v>0</v>
      </c>
      <c r="O534" s="203">
        <f t="shared" si="58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'กาญจนบุรี'!L535+'จันทบุรี'!L535+'ฉะเชิงเทรา'!L535+'ชลบุรี'!L535+'ชัยนาท'!L535+'ตราด'!L535+'นครนายก'!L535+'นครปฐม'!L535+'ปทุมธานี'!L535+'ประจวบคีรีขันธ์'!L535+'ปราจีนบุรี'!L535+'พระนครศรีอยุธยา'!L535+'เพชรบุรี'!L535+'ระยอง'!L535+'ราชบุรี'!L535+'ลพบุรี'!L535+'สระแก้ว'!L535+'สระบุรี'!L535+'สิงห์บุรี'!L535+'สุพรรณบุรี'!L535+'อ่างทอง'!L535</f>
        <v>703290</v>
      </c>
      <c r="M535" s="198"/>
      <c r="N535" s="203">
        <f>'กาญจนบุรี'!N535+'จันทบุรี'!N535+'ฉะเชิงเทรา'!N535+'ชลบุรี'!N535+'ชัยนาท'!N535+'ตราด'!N535+'นครนายก'!N535+'นครปฐม'!N535+'ปทุมธานี'!N535+'ประจวบคีรีขันธ์'!N535+'ปราจีนบุรี'!N535+'พระนครศรีอยุธยา'!N535+'เพชรบุรี'!N535+'ระยอง'!N535+'ราชบุรี'!N535+'ลพบุรี'!N535+'สระแก้ว'!N535+'สระบุรี'!N535+'สิงห์บุรี'!N535+'สุพรรณบุรี'!N535+'อ่างทอง'!N535</f>
        <v>337697.99</v>
      </c>
      <c r="O535" s="203">
        <f t="shared" si="58"/>
        <v>48.01689061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'กาญจนบุรี'!L536+'จันทบุรี'!L536+'ฉะเชิงเทรา'!L536+'ชลบุรี'!L536+'ชัยนาท'!L536+'ตราด'!L536+'นครนายก'!L536+'นครปฐม'!L536+'ปทุมธานี'!L536+'ประจวบคีรีขันธ์'!L536+'ปราจีนบุรี'!L536+'พระนครศรีอยุธยา'!L536+'เพชรบุรี'!L536+'ระยอง'!L536+'ราชบุรี'!L536+'ลพบุรี'!L536+'สระแก้ว'!L536+'สระบุรี'!L536+'สิงห์บุรี'!L536+'สุพรรณบุรี'!L536+'อ่างทอง'!L536</f>
        <v>0</v>
      </c>
      <c r="M536" s="203"/>
      <c r="N536" s="203">
        <f>'กาญจนบุรี'!N536+'จันทบุรี'!N536+'ฉะเชิงเทรา'!N536+'ชลบุรี'!N536+'ชัยนาท'!N536+'ตราด'!N536+'นครนายก'!N536+'นครปฐม'!N536+'ปทุมธานี'!N536+'ประจวบคีรีขันธ์'!N536+'ปราจีนบุรี'!N536+'พระนครศรีอยุธยา'!N536+'เพชรบุรี'!N536+'ระยอง'!N536+'ราชบุรี'!N536+'ลพบุรี'!N536+'สระแก้ว'!N536+'สระบุรี'!N536+'สิงห์บุรี'!N536+'สุพรรณบุรี'!N536+'อ่างทอง'!N536</f>
        <v>0</v>
      </c>
      <c r="O536" s="203">
        <f t="shared" si="58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'กาญจนบุรี'!L537+'จันทบุรี'!L537+'ฉะเชิงเทรา'!L537+'ชลบุรี'!L537+'ชัยนาท'!L537+'ตราด'!L537+'นครนายก'!L537+'นครปฐม'!L537+'ปทุมธานี'!L537+'ประจวบคีรีขันธ์'!L537+'ปราจีนบุรี'!L537+'พระนครศรีอยุธยา'!L537+'เพชรบุรี'!L537+'ระยอง'!L537+'ราชบุรี'!L537+'ลพบุรี'!L537+'สระแก้ว'!L537+'สระบุรี'!L537+'สิงห์บุรี'!L537+'สุพรรณบุรี'!L537+'อ่างทอง'!L537</f>
        <v>703290</v>
      </c>
      <c r="M537" s="203"/>
      <c r="N537" s="203">
        <f>'กาญจนบุรี'!N537+'จันทบุรี'!N537+'ฉะเชิงเทรา'!N537+'ชลบุรี'!N537+'ชัยนาท'!N537+'ตราด'!N537+'นครนายก'!N537+'นครปฐม'!N537+'ปทุมธานี'!N537+'ประจวบคีรีขันธ์'!N537+'ปราจีนบุรี'!N537+'พระนครศรีอยุธยา'!N537+'เพชรบุรี'!N537+'ระยอง'!N537+'ราชบุรี'!N537+'ลพบุรี'!N537+'สระแก้ว'!N537+'สระบุรี'!N537+'สิงห์บุรี'!N537+'สุพรรณบุรี'!N537+'อ่างทอง'!N537</f>
        <v>337697.99</v>
      </c>
      <c r="O537" s="203">
        <f t="shared" si="58"/>
        <v>48.01689061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'กาญจนบุรี'!N538+'จันทบุรี'!N538+'ฉะเชิงเทรา'!N538+'ชลบุรี'!N538+'ชัยนาท'!N538+'ตราด'!N538+'นครนายก'!N538+'นครปฐม'!N538+'ปทุมธานี'!N538+'ประจวบคีรีขันธ์'!N538+'ปราจีนบุรี'!N538+'พระนครศรีอยุธยา'!N538+'เพชรบุรี'!N538+'ระยอง'!N538+'ราชบุรี'!N538+'ลพบุรี'!N538+'สระแก้ว'!N538+'สระบุรี'!N538+'สิงห์บุรี'!N538+'สุพรรณบุรี'!N538+'อ่างทอง'!N538</f>
        <v>231772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'กาญจนบุรี'!N539+'จันทบุรี'!N539+'ฉะเชิงเทรา'!N539+'ชลบุรี'!N539+'ชัยนาท'!N539+'ตราด'!N539+'นครนายก'!N539+'นครปฐม'!N539+'ปทุมธานี'!N539+'ประจวบคีรีขันธ์'!N539+'ปราจีนบุรี'!N539+'พระนครศรีอยุธยา'!N539+'เพชรบุรี'!N539+'ระยอง'!N539+'ราชบุรี'!N539+'ลพบุรี'!N539+'สระแก้ว'!N539+'สระบุรี'!N539+'สิงห์บุรี'!N539+'สุพรรณบุรี'!N539+'อ่างทอง'!N539</f>
        <v>18740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'กาญจนบุรี'!N540+'จันทบุรี'!N540+'ฉะเชิงเทรา'!N540+'ชลบุรี'!N540+'ชัยนาท'!N540+'ตราด'!N540+'นครนายก'!N540+'นครปฐม'!N540+'ปทุมธานี'!N540+'ประจวบคีรีขันธ์'!N540+'ปราจีนบุรี'!N540+'พระนครศรีอยุธยา'!N540+'เพชรบุรี'!N540+'ระยอง'!N540+'ราชบุรี'!N540+'ลพบุรี'!N540+'สระแก้ว'!N540+'สระบุรี'!N540+'สิงห์บุรี'!N540+'สุพรรณบุรี'!N540+'อ่างทอง'!N540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'กาญจนบุรี'!N541+'จันทบุรี'!N541+'ฉะเชิงเทรา'!N541+'ชลบุรี'!N541+'ชัยนาท'!N541+'ตราด'!N541+'นครนายก'!N541+'นครปฐม'!N541+'ปทุมธานี'!N541+'ประจวบคีรีขันธ์'!N541+'ปราจีนบุรี'!N541+'พระนครศรีอยุธยา'!N541+'เพชรบุรี'!N541+'ระยอง'!N541+'ราชบุรี'!N541+'ลพบุรี'!N541+'สระแก้ว'!N541+'สระบุรี'!N541+'สิงห์บุรี'!N541+'สุพรรณบุรี'!N541+'อ่างทอง'!N541</f>
        <v>87185.99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'กาญจนบุรี'!J543+'จันทบุรี'!J543+'ฉะเชิงเทรา'!J543+'ชลบุรี'!J543+'ชัยนาท'!J543+'ตราด'!J543+'นครนายก'!J543+'นครปฐม'!J543+'ปทุมธานี'!J543+'ประจวบคีรีขันธ์'!J543+'ปราจีนบุรี'!J543+'พระนครศรีอยุธยา'!J543+'เพชรบุรี'!J543+'ระยอง'!J543+'ราชบุรี'!J543+'ลพบุรี'!J543+'สระแก้ว'!J543+'สระบุรี'!J543+'สิงห์บุรี'!J543+'สุพรรณบุรี'!J543+'อ่างทอง'!J543</f>
        <v>1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'กาญจนบุรี'!J544+'จันทบุรี'!J544+'ฉะเชิงเทรา'!J544+'ชลบุรี'!J544+'ชัยนาท'!J544+'ตราด'!J544+'นครนายก'!J544+'นครปฐม'!J544+'ปทุมธานี'!J544+'ประจวบคีรีขันธ์'!J544+'ปราจีนบุรี'!J544+'พระนครศรีอยุธยา'!J544+'เพชรบุรี'!J544+'ระยอง'!J544+'ราชบุรี'!J544+'ลพบุรี'!J544+'สระแก้ว'!J544+'สระบุรี'!J544+'สิงห์บุรี'!J544+'สุพรรณบุรี'!J544+'อ่างทอง'!J544</f>
        <v>16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'กาญจนบุรี'!J545+'จันทบุรี'!J545+'ฉะเชิงเทรา'!J545+'ชลบุรี'!J545+'ชัยนาท'!J545+'ตราด'!J545+'นครนายก'!J545+'นครปฐม'!J545+'ปทุมธานี'!J545+'ประจวบคีรีขันธ์'!J545+'ปราจีนบุรี'!J545+'พระนครศรีอยุธยา'!J545+'เพชรบุรี'!J545+'ระยอง'!J545+'ราชบุรี'!J545+'ลพบุรี'!J545+'สระแก้ว'!J545+'สระบุรี'!J545+'สิงห์บุรี'!J545+'สุพรรณบุรี'!J545+'อ่างทอง'!J545</f>
        <v>17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'กาญจนบุรี'!J546+'จันทบุรี'!J546+'ฉะเชิงเทรา'!J546+'ชลบุรี'!J546+'ชัยนาท'!J546+'ตราด'!J546+'นครนายก'!J546+'นครปฐม'!J546+'ปทุมธานี'!J546+'ประจวบคีรีขันธ์'!J546+'ปราจีนบุรี'!J546+'พระนครศรีอยุธยา'!J546+'เพชรบุรี'!J546+'ระยอง'!J546+'ราชบุรี'!J546+'ลพบุรี'!J546+'สระแก้ว'!J546+'สระบุรี'!J546+'สิงห์บุรี'!J546+'สุพรรณบุรี'!J546+'อ่างทอง'!J546</f>
        <v>15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'กาญจนบุรี'!I547+'จันทบุรี'!I547+'ฉะเชิงเทรา'!I547+'ชลบุรี'!I547+'ชัยนาท'!I547+'ตราด'!I547+'นครนายก'!I547+'นครปฐม'!I547+'ปทุมธานี'!I547+'ประจวบคีรีขันธ์'!I547+'ปราจีนบุรี'!I547+'พระนครศรีอยุธยา'!I547+'เพชรบุรี'!I547+'ระยอง'!I547+'ราชบุรี'!I547+'ลพบุรี'!I547+'สระแก้ว'!I547+'สระบุรี'!I547+'สิงห์บุรี'!I547+'สุพรรณบุรี'!I547+'อ่างทอง'!I547</f>
        <v>441</v>
      </c>
      <c r="J547" s="223">
        <f>'กาญจนบุรี'!J547+'จันทบุรี'!J547+'ฉะเชิงเทรา'!J547+'ชลบุรี'!J547+'ชัยนาท'!J547+'ตราด'!J547+'นครนายก'!J547+'นครปฐม'!J547+'ปทุมธานี'!J547+'ประจวบคีรีขันธ์'!J547+'ปราจีนบุรี'!J547+'พระนครศรีอยุธยา'!J547+'เพชรบุรี'!J547+'ระยอง'!J547+'ราชบุรี'!J547+'ลพบุรี'!J547+'สระแก้ว'!J547+'สระบุรี'!J547+'สิงห์บุรี'!J547+'สุพรรณบุรี'!J547+'อ่างทอง'!J547</f>
        <v>294</v>
      </c>
      <c r="K547" s="196">
        <f t="shared" ref="K547:K548" si="59">IF(I547&gt;0,J547*100/I547,0)</f>
        <v>66.66666667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'กาญจนบุรี'!J548+'จันทบุรี'!J548+'ฉะเชิงเทรา'!J548+'ชลบุรี'!J548+'ชัยนาท'!J548+'ตราด'!J548+'นครนายก'!J548+'นครปฐม'!J548+'ปทุมธานี'!J548+'ประจวบคีรีขันธ์'!J548+'ปราจีนบุรี'!J548+'พระนครศรีอยุธยา'!J548+'เพชรบุรี'!J548+'ระยอง'!J548+'ราชบุรี'!J548+'ลพบุรี'!J548+'สระแก้ว'!J548+'สระบุรี'!J548+'สิงห์บุรี'!J548+'สุพรรณบุรี'!J548+'อ่างทอง'!J548</f>
        <v>0</v>
      </c>
      <c r="K548" s="196">
        <f t="shared" si="59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'กาญจนบุรี'!J549+'จันทบุรี'!J549+'ฉะเชิงเทรา'!J549+'ชลบุรี'!J549+'ชัยนาท'!J549+'ตราด'!J549+'นครนายก'!J549+'นครปฐม'!J549+'ปทุมธานี'!J549+'ประจวบคีรีขันธ์'!J549+'ปราจีนบุรี'!J549+'พระนครศรีอยุธยา'!J549+'เพชรบุรี'!J549+'ระยอง'!J549+'ราชบุรี'!J549+'ลพบุรี'!J549+'สระแก้ว'!J549+'สระบุรี'!J549+'สิงห์บุรี'!J549+'สุพรรณบุรี'!J549+'อ่างทอง'!J549</f>
        <v>3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'กาญจนบุรี'!J550+'จันทบุรี'!J550+'ฉะเชิงเทรา'!J550+'ชลบุรี'!J550+'ชัยนาท'!J550+'ตราด'!J550+'นครนายก'!J550+'นครปฐม'!J550+'ปทุมธานี'!J550+'ประจวบคีรีขันธ์'!J550+'ปราจีนบุรี'!J550+'พระนครศรีอยุธยา'!J550+'เพชรบุรี'!J550+'ระยอง'!J550+'ราชบุรี'!J550+'ลพบุรี'!J550+'สระแก้ว'!J550+'สระบุรี'!J550+'สิงห์บุรี'!J550+'สุพรรณบุรี'!J550+'อ่างทอง'!J550</f>
        <v>4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'กาญจนบุรี'!I551+'จันทบุรี'!I551+'ฉะเชิงเทรา'!I551+'ชลบุรี'!I551+'ชัยนาท'!I551+'ตราด'!I551+'นครนายก'!I551+'นครปฐม'!I551+'ปทุมธานี'!I551+'ประจวบคีรีขันธ์'!I551+'ปราจีนบุรี'!I551+'พระนครศรีอยุธยา'!I551+'เพชรบุรี'!I551+'ระยอง'!I551+'ราชบุรี'!I551+'ลพบุรี'!I551+'สระแก้ว'!I551+'สระบุรี'!I551+'สิงห์บุรี'!I551+'สุพรรณบุรี'!I551+'อ่างทอง'!I551</f>
        <v>3000</v>
      </c>
      <c r="J551" s="443">
        <f>'กาญจนบุรี'!J551+'จันทบุรี'!J551+'ฉะเชิงเทรา'!J551+'ชลบุรี'!J551+'ชัยนาท'!J551+'ตราด'!J551+'นครนายก'!J551+'นครปฐม'!J551+'ปทุมธานี'!J551+'ประจวบคีรีขันธ์'!J551+'ปราจีนบุรี'!J551+'พระนครศรีอยุธยา'!J551+'เพชรบุรี'!J551+'ระยอง'!J551+'ราชบุรี'!J551+'ลพบุรี'!J551+'สระแก้ว'!J551+'สระบุรี'!J551+'สิงห์บุรี'!J551+'สุพรรณบุรี'!J551+'อ่างทอง'!J551</f>
        <v>0</v>
      </c>
      <c r="K551" s="444">
        <f>IF(I551&gt;0,J551*100/I551,0)</f>
        <v>0</v>
      </c>
      <c r="L551" s="445">
        <f>'กาญจนบุรี'!L551+'จันทบุรี'!L551+'ฉะเชิงเทรา'!L551+'ชลบุรี'!L551+'ชัยนาท'!L551+'ตราด'!L551+'นครนายก'!L551+'นครปฐม'!L551+'ปทุมธานี'!L551+'ประจวบคีรีขันธ์'!L551+'ปราจีนบุรี'!L551+'พระนครศรีอยุธยา'!L551+'เพชรบุรี'!L551+'ระยอง'!L551+'ราชบุรี'!L551+'ลพบุรี'!L551+'สระแก้ว'!L551+'สระบุรี'!L551+'สิงห์บุรี'!L551+'สุพรรณบุรี'!L551+'อ่างทอง'!L551</f>
        <v>198000</v>
      </c>
      <c r="M551" s="445"/>
      <c r="N551" s="445">
        <f>'กาญจนบุรี'!N551+'จันทบุรี'!N551+'ฉะเชิงเทรา'!N551+'ชลบุรี'!N551+'ชัยนาท'!N551+'ตราด'!N551+'นครนายก'!N551+'นครปฐม'!N551+'ปทุมธานี'!N551+'ประจวบคีรีขันธ์'!N551+'ปราจีนบุรี'!N551+'พระนครศรีอยุธยา'!N551+'เพชรบุรี'!N551+'ระยอง'!N551+'ราชบุรี'!N551+'ลพบุรี'!N551+'สระแก้ว'!N551+'สระบุรี'!N551+'สิงห์บุรี'!N551+'สุพรรณบุรี'!N551+'อ่างทอง'!N551</f>
        <v>22320</v>
      </c>
      <c r="O551" s="445">
        <f t="shared" ref="O551:O555" si="60">+IF(L551&gt;0,N551*100/L551,0)</f>
        <v>11.27272727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'กาญจนบุรี'!L552+'จันทบุรี'!L552+'ฉะเชิงเทรา'!L552+'ชลบุรี'!L552+'ชัยนาท'!L552+'ตราด'!L552+'นครนายก'!L552+'นครปฐม'!L552+'ปทุมธานี'!L552+'ประจวบคีรีขันธ์'!L552+'ปราจีนบุรี'!L552+'พระนครศรีอยุธยา'!L552+'เพชรบุรี'!L552+'ระยอง'!L552+'ราชบุรี'!L552+'ลพบุรี'!L552+'สระแก้ว'!L552+'สระบุรี'!L552+'สิงห์บุรี'!L552+'สุพรรณบุรี'!L552+'อ่างทอง'!L552</f>
        <v>0</v>
      </c>
      <c r="M552" s="197"/>
      <c r="N552" s="203">
        <f>'กาญจนบุรี'!N552+'จันทบุรี'!N552+'ฉะเชิงเทรา'!N552+'ชลบุรี'!N552+'ชัยนาท'!N552+'ตราด'!N552+'นครนายก'!N552+'นครปฐม'!N552+'ปทุมธานี'!N552+'ประจวบคีรีขันธ์'!N552+'ปราจีนบุรี'!N552+'พระนครศรีอยุธยา'!N552+'เพชรบุรี'!N552+'ระยอง'!N552+'ราชบุรี'!N552+'ลพบุรี'!N552+'สระแก้ว'!N552+'สระบุรี'!N552+'สิงห์บุรี'!N552+'สุพรรณบุรี'!N552+'อ่างทอง'!N552</f>
        <v>0</v>
      </c>
      <c r="O552" s="203">
        <f t="shared" si="60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'กาญจนบุรี'!L553+'จันทบุรี'!L553+'ฉะเชิงเทรา'!L553+'ชลบุรี'!L553+'ชัยนาท'!L553+'ตราด'!L553+'นครนายก'!L553+'นครปฐม'!L553+'ปทุมธานี'!L553+'ประจวบคีรีขันธ์'!L553+'ปราจีนบุรี'!L553+'พระนครศรีอยุธยา'!L553+'เพชรบุรี'!L553+'ระยอง'!L553+'ราชบุรี'!L553+'ลพบุรี'!L553+'สระแก้ว'!L553+'สระบุรี'!L553+'สิงห์บุรี'!L553+'สุพรรณบุรี'!L553+'อ่างทอง'!L553</f>
        <v>198000</v>
      </c>
      <c r="M553" s="198"/>
      <c r="N553" s="203">
        <f>'กาญจนบุรี'!N553+'จันทบุรี'!N553+'ฉะเชิงเทรา'!N553+'ชลบุรี'!N553+'ชัยนาท'!N553+'ตราด'!N553+'นครนายก'!N553+'นครปฐม'!N553+'ปทุมธานี'!N553+'ประจวบคีรีขันธ์'!N553+'ปราจีนบุรี'!N553+'พระนครศรีอยุธยา'!N553+'เพชรบุรี'!N553+'ระยอง'!N553+'ราชบุรี'!N553+'ลพบุรี'!N553+'สระแก้ว'!N553+'สระบุรี'!N553+'สิงห์บุรี'!N553+'สุพรรณบุรี'!N553+'อ่างทอง'!N553</f>
        <v>22320</v>
      </c>
      <c r="O553" s="203">
        <f t="shared" si="60"/>
        <v>11.27272727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'กาญจนบุรี'!L554+'จันทบุรี'!L554+'ฉะเชิงเทรา'!L554+'ชลบุรี'!L554+'ชัยนาท'!L554+'ตราด'!L554+'นครนายก'!L554+'นครปฐม'!L554+'ปทุมธานี'!L554+'ประจวบคีรีขันธ์'!L554+'ปราจีนบุรี'!L554+'พระนครศรีอยุธยา'!L554+'เพชรบุรี'!L554+'ระยอง'!L554+'ราชบุรี'!L554+'ลพบุรี'!L554+'สระแก้ว'!L554+'สระบุรี'!L554+'สิงห์บุรี'!L554+'สุพรรณบุรี'!L554+'อ่างทอง'!L554</f>
        <v>0</v>
      </c>
      <c r="M554" s="203"/>
      <c r="N554" s="203">
        <f>'กาญจนบุรี'!N554+'จันทบุรี'!N554+'ฉะเชิงเทรา'!N554+'ชลบุรี'!N554+'ชัยนาท'!N554+'ตราด'!N554+'นครนายก'!N554+'นครปฐม'!N554+'ปทุมธานี'!N554+'ประจวบคีรีขันธ์'!N554+'ปราจีนบุรี'!N554+'พระนครศรีอยุธยา'!N554+'เพชรบุรี'!N554+'ระยอง'!N554+'ราชบุรี'!N554+'ลพบุรี'!N554+'สระแก้ว'!N554+'สระบุรี'!N554+'สิงห์บุรี'!N554+'สุพรรณบุรี'!N554+'อ่างทอง'!N554</f>
        <v>0</v>
      </c>
      <c r="O554" s="203">
        <f t="shared" si="60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'กาญจนบุรี'!L555+'จันทบุรี'!L555+'ฉะเชิงเทรา'!L555+'ชลบุรี'!L555+'ชัยนาท'!L555+'ตราด'!L555+'นครนายก'!L555+'นครปฐม'!L555+'ปทุมธานี'!L555+'ประจวบคีรีขันธ์'!L555+'ปราจีนบุรี'!L555+'พระนครศรีอยุธยา'!L555+'เพชรบุรี'!L555+'ระยอง'!L555+'ราชบุรี'!L555+'ลพบุรี'!L555+'สระแก้ว'!L555+'สระบุรี'!L555+'สิงห์บุรี'!L555+'สุพรรณบุรี'!L555+'อ่างทอง'!L555</f>
        <v>198000</v>
      </c>
      <c r="M555" s="203"/>
      <c r="N555" s="203">
        <f>'กาญจนบุรี'!N555+'จันทบุรี'!N555+'ฉะเชิงเทรา'!N555+'ชลบุรี'!N555+'ชัยนาท'!N555+'ตราด'!N555+'นครนายก'!N555+'นครปฐม'!N555+'ปทุมธานี'!N555+'ประจวบคีรีขันธ์'!N555+'ปราจีนบุรี'!N555+'พระนครศรีอยุธยา'!N555+'เพชรบุรี'!N555+'ระยอง'!N555+'ราชบุรี'!N555+'ลพบุรี'!N555+'สระแก้ว'!N555+'สระบุรี'!N555+'สิงห์บุรี'!N555+'สุพรรณบุรี'!N555+'อ่างทอง'!N555</f>
        <v>22320</v>
      </c>
      <c r="O555" s="203">
        <f t="shared" si="60"/>
        <v>11.27272727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'กาญจนบุรี'!N556+'จันทบุรี'!N556+'ฉะเชิงเทรา'!N556+'ชลบุรี'!N556+'ชัยนาท'!N556+'ตราด'!N556+'นครนายก'!N556+'นครปฐม'!N556+'ปทุมธานี'!N556+'ประจวบคีรีขันธ์'!N556+'ปราจีนบุรี'!N556+'พระนครศรีอยุธยา'!N556+'เพชรบุรี'!N556+'ระยอง'!N556+'ราชบุรี'!N556+'ลพบุรี'!N556+'สระแก้ว'!N556+'สระบุรี'!N556+'สิงห์บุรี'!N556+'สุพรรณบุรี'!N556+'อ่างทอง'!N556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'กาญจนบุรี'!N557+'จันทบุรี'!N557+'ฉะเชิงเทรา'!N557+'ชลบุรี'!N557+'ชัยนาท'!N557+'ตราด'!N557+'นครนายก'!N557+'นครปฐม'!N557+'ปทุมธานี'!N557+'ประจวบคีรีขันธ์'!N557+'ปราจีนบุรี'!N557+'พระนครศรีอยุธยา'!N557+'เพชรบุรี'!N557+'ระยอง'!N557+'ราชบุรี'!N557+'ลพบุรี'!N557+'สระแก้ว'!N557+'สระบุรี'!N557+'สิงห์บุรี'!N557+'สุพรรณบุรี'!N557+'อ่างทอง'!N557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'กาญจนบุรี'!N558+'จันทบุรี'!N558+'ฉะเชิงเทรา'!N558+'ชลบุรี'!N558+'ชัยนาท'!N558+'ตราด'!N558+'นครนายก'!N558+'นครปฐม'!N558+'ปทุมธานี'!N558+'ประจวบคีรีขันธ์'!N558+'ปราจีนบุรี'!N558+'พระนครศรีอยุธยา'!N558+'เพชรบุรี'!N558+'ระยอง'!N558+'ราชบุรี'!N558+'ลพบุรี'!N558+'สระแก้ว'!N558+'สระบุรี'!N558+'สิงห์บุรี'!N558+'สุพรรณบุรี'!N558+'อ่างทอง'!N558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'กาญจนบุรี'!N559+'จันทบุรี'!N559+'ฉะเชิงเทรา'!N559+'ชลบุรี'!N559+'ชัยนาท'!N559+'ตราด'!N559+'นครนายก'!N559+'นครปฐม'!N559+'ปทุมธานี'!N559+'ประจวบคีรีขันธ์'!N559+'ปราจีนบุรี'!N559+'พระนครศรีอยุธยา'!N559+'เพชรบุรี'!N559+'ระยอง'!N559+'ราชบุรี'!N559+'ลพบุรี'!N559+'สระแก้ว'!N559+'สระบุรี'!N559+'สิงห์บุรี'!N559+'สุพรรณบุรี'!N559+'อ่างทอง'!N559</f>
        <v>22320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'กาญจนบุรี'!I560+'จันทบุรี'!I560+'ฉะเชิงเทรา'!I560+'ชลบุรี'!I560+'ชัยนาท'!I560+'ตราด'!I560+'นครนายก'!I560+'นครปฐม'!I560+'ปทุมธานี'!I560+'ประจวบคีรีขันธ์'!I560+'ปราจีนบุรี'!I560+'พระนครศรีอยุธยา'!I560+'เพชรบุรี'!I560+'ระยอง'!I560+'ราชบุรี'!I560+'ลพบุรี'!I560+'สระแก้ว'!I560+'สระบุรี'!I560+'สิงห์บุรี'!I560+'สุพรรณบุรี'!I560+'อ่างทอง'!I560</f>
        <v>3000</v>
      </c>
      <c r="J560" s="195">
        <f>'กาญจนบุรี'!J560+'จันทบุรี'!J560+'ฉะเชิงเทรา'!J560+'ชลบุรี'!J560+'ชัยนาท'!J560+'ตราด'!J560+'นครนายก'!J560+'นครปฐม'!J560+'ปทุมธานี'!J560+'ประจวบคีรีขันธ์'!J560+'ปราจีนบุรี'!J560+'พระนครศรีอยุธยา'!J560+'เพชรบุรี'!J560+'ระยอง'!J560+'ราชบุรี'!J560+'ลพบุรี'!J560+'สระแก้ว'!J560+'สระบุรี'!J560+'สิงห์บุรี'!J560+'สุพรรณบุรี'!J560+'อ่างทอง'!J560</f>
        <v>0</v>
      </c>
      <c r="K560" s="258">
        <f t="shared" ref="K560:K561" si="61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'กาญจนบุรี'!I561+'จันทบุรี'!I561+'ฉะเชิงเทรา'!I561+'ชลบุรี'!I561+'ชัยนาท'!I561+'ตราด'!I561+'นครนายก'!I561+'นครปฐม'!I561+'ปทุมธานี'!I561+'ประจวบคีรีขันธ์'!I561+'ปราจีนบุรี'!I561+'พระนครศรีอยุธยา'!I561+'เพชรบุรี'!I561+'ระยอง'!I561+'ราชบุรี'!I561+'ลพบุรี'!I561+'สระแก้ว'!I561+'สระบุรี'!I561+'สิงห์บุรี'!I561+'สุพรรณบุรี'!I561+'อ่างทอง'!I561</f>
        <v>0</v>
      </c>
      <c r="J561" s="238">
        <f>'กาญจนบุรี'!J561+'จันทบุรี'!J561+'ฉะเชิงเทรา'!J561+'ชลบุรี'!J561+'ชัยนาท'!J561+'ตราด'!J561+'นครนายก'!J561+'นครปฐม'!J561+'ปทุมธานี'!J561+'ประจวบคีรีขันธ์'!J561+'ปราจีนบุรี'!J561+'พระนครศรีอยุธยา'!J561+'เพชรบุรี'!J561+'ระยอง'!J561+'ราชบุรี'!J561+'ลพบุรี'!J561+'สระแก้ว'!J561+'สระบุรี'!J561+'สิงห์บุรี'!J561+'สุพรรณบุรี'!J561+'อ่างทอง'!J561</f>
        <v>0</v>
      </c>
      <c r="K561" s="258">
        <f t="shared" si="61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IFERROR(__xludf.DUMMYFUNCTION("IMPORTRANGE(""https://docs.google.com/spreadsheets/d/1SX6NBoVAgQJ6U1MVXOaj8PK2l7WJ3RER9xtqwdhxkhw/edit?usp=sharing"",""กาญจนบุรี!I457"")"),"")</f>
        <v/>
      </c>
      <c r="J562" s="238" t="str">
        <f>IFERROR(__xludf.DUMMYFUNCTION("IMPORTRANGE(""https://docs.google.com/spreadsheets/d/1SX6NBoVAgQJ6U1MVXOaj8PK2l7WJ3RER9xtqwdhxkhw/edit?usp=sharing"",""กาญจนบุรี!J457"")"),"")</f>
        <v/>
      </c>
      <c r="K562" s="196"/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IFERROR(__xludf.DUMMYFUNCTION("IMPORTRANGE(""https://docs.google.com/spreadsheets/d/1SX6NBoVAgQJ6U1MVXOaj8PK2l7WJ3RER9xtqwdhxkhw/edit?usp=sharing"",""กาญจนบุรี!I458"")"),"")</f>
        <v/>
      </c>
      <c r="J563" s="222" t="str">
        <f>IFERROR(__xludf.DUMMYFUNCTION("IMPORTRANGE(""https://docs.google.com/spreadsheets/d/1SX6NBoVAgQJ6U1MVXOaj8PK2l7WJ3RER9xtqwdhxkhw/edit?usp=sharing"",""กาญจนบุรี!J458"")"),"")</f>
        <v/>
      </c>
      <c r="K563" s="196"/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'กาญจนบุรี'!I564+'จันทบุรี'!I564+'ฉะเชิงเทรา'!I564+'ชลบุรี'!I564+'ชัยนาท'!I564+'ตราด'!I564+'นครนายก'!I564+'นครปฐม'!I564+'ปทุมธานี'!I564+'ประจวบคีรีขันธ์'!I564+'ปราจีนบุรี'!I564+'พระนครศรีอยุธยา'!I564+'เพชรบุรี'!I564+'ระยอง'!I564+'ราชบุรี'!I564+'ลพบุรี'!I564+'สระแก้ว'!I564+'สระบุรี'!I564+'สิงห์บุรี'!I564+'สุพรรณบุรี'!I564+'อ่างทอง'!I564</f>
        <v>15740</v>
      </c>
      <c r="J564" s="404">
        <f>'กาญจนบุรี'!J564+'จันทบุรี'!J564+'ฉะเชิงเทรา'!J564+'ชลบุรี'!J564+'ชัยนาท'!J564+'ตราด'!J564+'นครนายก'!J564+'นครปฐม'!J564+'ปทุมธานี'!J564+'ประจวบคีรีขันธ์'!J564+'ปราจีนบุรี'!J564+'พระนครศรีอยุธยา'!J564+'เพชรบุรี'!J564+'ระยอง'!J564+'ราชบุรี'!J564+'ลพบุรี'!J564+'สระแก้ว'!J564+'สระบุรี'!J564+'สิงห์บุรี'!J564+'สุพรรณบุรี'!J564+'อ่างทอง'!J564</f>
        <v>8365</v>
      </c>
      <c r="K564" s="405">
        <f>IF(I564&gt;0,J564*100/I564,0)</f>
        <v>53.14485388</v>
      </c>
      <c r="L564" s="406">
        <f>'กาญจนบุรี'!L564+'จันทบุรี'!L564+'ฉะเชิงเทรา'!L564+'ชลบุรี'!L564+'ชัยนาท'!L564+'ตราด'!L564+'นครนายก'!L564+'นครปฐม'!L564+'ปทุมธานี'!L564+'ประจวบคีรีขันธ์'!L564+'ปราจีนบุรี'!L564+'พระนครศรีอยุธยา'!L564+'เพชรบุรี'!L564+'ระยอง'!L564+'ราชบุรี'!L564+'ลพบุรี'!L564+'สระแก้ว'!L564+'สระบุรี'!L564+'สิงห์บุรี'!L564+'สุพรรณบุรี'!L564+'อ่างทอง'!L564</f>
        <v>2661040</v>
      </c>
      <c r="M564" s="406"/>
      <c r="N564" s="406">
        <f>'กาญจนบุรี'!N564+'จันทบุรี'!N564+'ฉะเชิงเทรา'!N564+'ชลบุรี'!N564+'ชัยนาท'!N564+'ตราด'!N564+'นครนายก'!N564+'นครปฐม'!N564+'ปทุมธานี'!N564+'ประจวบคีรีขันธ์'!N564+'ปราจีนบุรี'!N564+'พระนครศรีอยุธยา'!N564+'เพชรบุรี'!N564+'ระยอง'!N564+'ราชบุรี'!N564+'ลพบุรี'!N564+'สระแก้ว'!N564+'สระบุรี'!N564+'สิงห์บุรี'!N564+'สุพรรณบุรี'!N564+'อ่างทอง'!N564</f>
        <v>421633.11</v>
      </c>
      <c r="O564" s="406">
        <f t="shared" ref="O564:O568" si="62">+IF(L564&gt;0,N564*100/L564,0)</f>
        <v>15.84467389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'กาญจนบุรี'!L565+'จันทบุรี'!L565+'ฉะเชิงเทรา'!L565+'ชลบุรี'!L565+'ชัยนาท'!L565+'ตราด'!L565+'นครนายก'!L565+'นครปฐม'!L565+'ปทุมธานี'!L565+'ประจวบคีรีขันธ์'!L565+'ปราจีนบุรี'!L565+'พระนครศรีอยุธยา'!L565+'เพชรบุรี'!L565+'ระยอง'!L565+'ราชบุรี'!L565+'ลพบุรี'!L565+'สระแก้ว'!L565+'สระบุรี'!L565+'สิงห์บุรี'!L565+'สุพรรณบุรี'!L565+'อ่างทอง'!L565</f>
        <v>0</v>
      </c>
      <c r="M565" s="197"/>
      <c r="N565" s="203">
        <f>'กาญจนบุรี'!N565+'จันทบุรี'!N565+'ฉะเชิงเทรา'!N565+'ชลบุรี'!N565+'ชัยนาท'!N565+'ตราด'!N565+'นครนายก'!N565+'นครปฐม'!N565+'ปทุมธานี'!N565+'ประจวบคีรีขันธ์'!N565+'ปราจีนบุรี'!N565+'พระนครศรีอยุธยา'!N565+'เพชรบุรี'!N565+'ระยอง'!N565+'ราชบุรี'!N565+'ลพบุรี'!N565+'สระแก้ว'!N565+'สระบุรี'!N565+'สิงห์บุรี'!N565+'สุพรรณบุรี'!N565+'อ่างทอง'!N565</f>
        <v>0</v>
      </c>
      <c r="O565" s="203">
        <f t="shared" si="62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'กาญจนบุรี'!L566+'จันทบุรี'!L566+'ฉะเชิงเทรา'!L566+'ชลบุรี'!L566+'ชัยนาท'!L566+'ตราด'!L566+'นครนายก'!L566+'นครปฐม'!L566+'ปทุมธานี'!L566+'ประจวบคีรีขันธ์'!L566+'ปราจีนบุรี'!L566+'พระนครศรีอยุธยา'!L566+'เพชรบุรี'!L566+'ระยอง'!L566+'ราชบุรี'!L566+'ลพบุรี'!L566+'สระแก้ว'!L566+'สระบุรี'!L566+'สิงห์บุรี'!L566+'สุพรรณบุรี'!L566+'อ่างทอง'!L566</f>
        <v>2661040</v>
      </c>
      <c r="M566" s="198"/>
      <c r="N566" s="203">
        <f>'กาญจนบุรี'!N566+'จันทบุรี'!N566+'ฉะเชิงเทรา'!N566+'ชลบุรี'!N566+'ชัยนาท'!N566+'ตราด'!N566+'นครนายก'!N566+'นครปฐม'!N566+'ปทุมธานี'!N566+'ประจวบคีรีขันธ์'!N566+'ปราจีนบุรี'!N566+'พระนครศรีอยุธยา'!N566+'เพชรบุรี'!N566+'ระยอง'!N566+'ราชบุรี'!N566+'ลพบุรี'!N566+'สระแก้ว'!N566+'สระบุรี'!N566+'สิงห์บุรี'!N566+'สุพรรณบุรี'!N566+'อ่างทอง'!N566</f>
        <v>421633.11</v>
      </c>
      <c r="O566" s="203">
        <f t="shared" si="62"/>
        <v>15.84467389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'กาญจนบุรี'!L567+'จันทบุรี'!L567+'ฉะเชิงเทรา'!L567+'ชลบุรี'!L567+'ชัยนาท'!L567+'ตราด'!L567+'นครนายก'!L567+'นครปฐม'!L567+'ปทุมธานี'!L567+'ประจวบคีรีขันธ์'!L567+'ปราจีนบุรี'!L567+'พระนครศรีอยุธยา'!L567+'เพชรบุรี'!L567+'ระยอง'!L567+'ราชบุรี'!L567+'ลพบุรี'!L567+'สระแก้ว'!L567+'สระบุรี'!L567+'สิงห์บุรี'!L567+'สุพรรณบุรี'!L567+'อ่างทอง'!L567</f>
        <v>0</v>
      </c>
      <c r="M567" s="203"/>
      <c r="N567" s="203">
        <f>'กาญจนบุรี'!N567+'จันทบุรี'!N567+'ฉะเชิงเทรา'!N567+'ชลบุรี'!N567+'ชัยนาท'!N567+'ตราด'!N567+'นครนายก'!N567+'นครปฐม'!N567+'ปทุมธานี'!N567+'ประจวบคีรีขันธ์'!N567+'ปราจีนบุรี'!N567+'พระนครศรีอยุธยา'!N567+'เพชรบุรี'!N567+'ระยอง'!N567+'ราชบุรี'!N567+'ลพบุรี'!N567+'สระแก้ว'!N567+'สระบุรี'!N567+'สิงห์บุรี'!N567+'สุพรรณบุรี'!N567+'อ่างทอง'!N567</f>
        <v>0</v>
      </c>
      <c r="O567" s="203">
        <f t="shared" si="62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'กาญจนบุรี'!L568+'จันทบุรี'!L568+'ฉะเชิงเทรา'!L568+'ชลบุรี'!L568+'ชัยนาท'!L568+'ตราด'!L568+'นครนายก'!L568+'นครปฐม'!L568+'ปทุมธานี'!L568+'ประจวบคีรีขันธ์'!L568+'ปราจีนบุรี'!L568+'พระนครศรีอยุธยา'!L568+'เพชรบุรี'!L568+'ระยอง'!L568+'ราชบุรี'!L568+'ลพบุรี'!L568+'สระแก้ว'!L568+'สระบุรี'!L568+'สิงห์บุรี'!L568+'สุพรรณบุรี'!L568+'อ่างทอง'!L568</f>
        <v>2661040</v>
      </c>
      <c r="M568" s="203"/>
      <c r="N568" s="203">
        <f>'กาญจนบุรี'!N568+'จันทบุรี'!N568+'ฉะเชิงเทรา'!N568+'ชลบุรี'!N568+'ชัยนาท'!N568+'ตราด'!N568+'นครนายก'!N568+'นครปฐม'!N568+'ปทุมธานี'!N568+'ประจวบคีรีขันธ์'!N568+'ปราจีนบุรี'!N568+'พระนครศรีอยุธยา'!N568+'เพชรบุรี'!N568+'ระยอง'!N568+'ราชบุรี'!N568+'ลพบุรี'!N568+'สระแก้ว'!N568+'สระบุรี'!N568+'สิงห์บุรี'!N568+'สุพรรณบุรี'!N568+'อ่างทอง'!N568</f>
        <v>421633.11</v>
      </c>
      <c r="O568" s="203">
        <f t="shared" si="62"/>
        <v>15.84467389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'กาญจนบุรี'!N569+'จันทบุรี'!N569+'ฉะเชิงเทรา'!N569+'ชลบุรี'!N569+'ชัยนาท'!N569+'ตราด'!N569+'นครนายก'!N569+'นครปฐม'!N569+'ปทุมธานี'!N569+'ประจวบคีรีขันธ์'!N569+'ปราจีนบุรี'!N569+'พระนครศรีอยุธยา'!N569+'เพชรบุรี'!N569+'ระยอง'!N569+'ราชบุรี'!N569+'ลพบุรี'!N569+'สระแก้ว'!N569+'สระบุรี'!N569+'สิงห์บุรี'!N569+'สุพรรณบุรี'!N569+'อ่างทอง'!N569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'กาญจนบุรี'!N570+'จันทบุรี'!N570+'ฉะเชิงเทรา'!N570+'ชลบุรี'!N570+'ชัยนาท'!N570+'ตราด'!N570+'นครนายก'!N570+'นครปฐม'!N570+'ปทุมธานี'!N570+'ประจวบคีรีขันธ์'!N570+'ปราจีนบุรี'!N570+'พระนครศรีอยุธยา'!N570+'เพชรบุรี'!N570+'ระยอง'!N570+'ราชบุรี'!N570+'ลพบุรี'!N570+'สระแก้ว'!N570+'สระบุรี'!N570+'สิงห์บุรี'!N570+'สุพรรณบุรี'!N570+'อ่างทอง'!N570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'กาญจนบุรี'!N571+'จันทบุรี'!N571+'ฉะเชิงเทรา'!N571+'ชลบุรี'!N571+'ชัยนาท'!N571+'ตราด'!N571+'นครนายก'!N571+'นครปฐม'!N571+'ปทุมธานี'!N571+'ประจวบคีรีขันธ์'!N571+'ปราจีนบุรี'!N571+'พระนครศรีอยุธยา'!N571+'เพชรบุรี'!N571+'ระยอง'!N571+'ราชบุรี'!N571+'ลพบุรี'!N571+'สระแก้ว'!N571+'สระบุรี'!N571+'สิงห์บุรี'!N571+'สุพรรณบุรี'!N571+'อ่างทอง'!N571</f>
        <v>347683.11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'กาญจนบุรี'!N572+'จันทบุรี'!N572+'ฉะเชิงเทรา'!N572+'ชลบุรี'!N572+'ชัยนาท'!N572+'ตราด'!N572+'นครนายก'!N572+'นครปฐม'!N572+'ปทุมธานี'!N572+'ประจวบคีรีขันธ์'!N572+'ปราจีนบุรี'!N572+'พระนครศรีอยุธยา'!N572+'เพชรบุรี'!N572+'ระยอง'!N572+'ราชบุรี'!N572+'ลพบุรี'!N572+'สระแก้ว'!N572+'สระบุรี'!N572+'สิงห์บุรี'!N572+'สุพรรณบุรี'!N572+'อ่างทอง'!N572</f>
        <v>73950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'กาญจนบุรี'!I573+'จันทบุรี'!I573+'ฉะเชิงเทรา'!I573+'ชลบุรี'!I573+'ชัยนาท'!I573+'ตราด'!I573+'นครนายก'!I573+'นครปฐม'!I573+'ปทุมธานี'!I573+'ประจวบคีรีขันธ์'!I573+'ปราจีนบุรี'!I573+'พระนครศรีอยุธยา'!I573+'เพชรบุรี'!I573+'ระยอง'!I573+'ราชบุรี'!I573+'ลพบุรี'!I573+'สระแก้ว'!I573+'สระบุรี'!I573+'สิงห์บุรี'!I573+'สุพรรณบุรี'!I573+'อ่างทอง'!I573</f>
        <v>15740</v>
      </c>
      <c r="J573" s="453">
        <f>'กาญจนบุรี'!J573+'จันทบุรี'!J573+'ฉะเชิงเทรา'!J573+'ชลบุรี'!J573+'ชัยนาท'!J573+'ตราด'!J573+'นครนายก'!J573+'นครปฐม'!J573+'ปทุมธานี'!J573+'ประจวบคีรีขันธ์'!J573+'ปราจีนบุรี'!J573+'พระนครศรีอยุธยา'!J573+'เพชรบุรี'!J573+'ระยอง'!J573+'ราชบุรี'!J573+'ลพบุรี'!J573+'สระแก้ว'!J573+'สระบุรี'!J573+'สิงห์บุรี'!J573+'สุพรรณบุรี'!J573+'อ่างทอง'!J573</f>
        <v>8365</v>
      </c>
      <c r="K573" s="236">
        <f>IF(I573&gt;0,J573*100/I573,0)</f>
        <v>53.14485388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'กาญจนบุรี'!I575+'จันทบุรี'!I575+'ฉะเชิงเทรา'!I575+'ชลบุรี'!I575+'ชัยนาท'!I575+'ตราด'!I575+'นครนายก'!I575+'นครปฐม'!I575+'ปทุมธานี'!I575+'ประจวบคีรีขันธ์'!I575+'ปราจีนบุรี'!I575+'พระนครศรีอยุธยา'!I575+'เพชรบุรี'!I575+'ระยอง'!I575+'ราชบุรี'!I575+'ลพบุรี'!I575+'สระแก้ว'!I575+'สระบุรี'!I575+'สิงห์บุรี'!I575+'สุพรรณบุรี'!I575+'อ่างทอง'!I575</f>
        <v>0</v>
      </c>
      <c r="J575" s="232">
        <f>'กาญจนบุรี'!J575+'จันทบุรี'!J575+'ฉะเชิงเทรา'!J575+'ชลบุรี'!J575+'ชัยนาท'!J575+'ตราด'!J575+'นครนายก'!J575+'นครปฐม'!J575+'ปทุมธานี'!J575+'ประจวบคีรีขันธ์'!J575+'ปราจีนบุรี'!J575+'พระนครศรีอยุธยา'!J575+'เพชรบุรี'!J575+'ระยอง'!J575+'ราชบุรี'!J575+'ลพบุรี'!J575+'สระแก้ว'!J575+'สระบุรี'!J575+'สิงห์บุรี'!J575+'สุพรรณบุรี'!J575+'อ่างทอง'!J575</f>
        <v>16</v>
      </c>
      <c r="K575" s="196">
        <f t="shared" ref="K575:K579" si="63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'กาญจนบุรี'!I576+'จันทบุรี'!I576+'ฉะเชิงเทรา'!I576+'ชลบุรี'!I576+'ชัยนาท'!I576+'ตราด'!I576+'นครนายก'!I576+'นครปฐม'!I576+'ปทุมธานี'!I576+'ประจวบคีรีขันธ์'!I576+'ปราจีนบุรี'!I576+'พระนครศรีอยุธยา'!I576+'เพชรบุรี'!I576+'ระยอง'!I576+'ราชบุรี'!I576+'ลพบุรี'!I576+'สระแก้ว'!I576+'สระบุรี'!I576+'สิงห์บุรี'!I576+'สุพรรณบุรี'!I576+'อ่างทอง'!I576</f>
        <v>0</v>
      </c>
      <c r="J576" s="232">
        <f>'กาญจนบุรี'!J576+'จันทบุรี'!J576+'ฉะเชิงเทรา'!J576+'ชลบุรี'!J576+'ชัยนาท'!J576+'ตราด'!J576+'นครนายก'!J576+'นครปฐม'!J576+'ปทุมธานี'!J576+'ประจวบคีรีขันธ์'!J576+'ปราจีนบุรี'!J576+'พระนครศรีอยุธยา'!J576+'เพชรบุรี'!J576+'ระยอง'!J576+'ราชบุรี'!J576+'ลพบุรี'!J576+'สระแก้ว'!J576+'สระบุรี'!J576+'สิงห์บุรี'!J576+'สุพรรณบุรี'!J576+'อ่างทอง'!J576</f>
        <v>496</v>
      </c>
      <c r="K576" s="196">
        <f t="shared" si="63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'กาญจนบุรี'!I577+'จันทบุรี'!I577+'ฉะเชิงเทรา'!I577+'ชลบุรี'!I577+'ชัยนาท'!I577+'ตราด'!I577+'นครนายก'!I577+'นครปฐม'!I577+'ปทุมธานี'!I577+'ประจวบคีรีขันธ์'!I577+'ปราจีนบุรี'!I577+'พระนครศรีอยุธยา'!I577+'เพชรบุรี'!I577+'ระยอง'!I577+'ราชบุรี'!I577+'ลพบุรี'!I577+'สระแก้ว'!I577+'สระบุรี'!I577+'สิงห์บุรี'!I577+'สุพรรณบุรี'!I577+'อ่างทอง'!I577</f>
        <v>0</v>
      </c>
      <c r="J577" s="223">
        <f>'กาญจนบุรี'!J577+'จันทบุรี'!J577+'ฉะเชิงเทรา'!J577+'ชลบุรี'!J577+'ชัยนาท'!J577+'ตราด'!J577+'นครนายก'!J577+'นครปฐม'!J577+'ปทุมธานี'!J577+'ประจวบคีรีขันธ์'!J577+'ปราจีนบุรี'!J577+'พระนครศรีอยุธยา'!J577+'เพชรบุรี'!J577+'ระยอง'!J577+'ราชบุรี'!J577+'ลพบุรี'!J577+'สระแก้ว'!J577+'สระบุรี'!J577+'สิงห์บุรี'!J577+'สุพรรณบุรี'!J577+'อ่างทอง'!J577</f>
        <v>7771</v>
      </c>
      <c r="K577" s="196">
        <f t="shared" si="63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'กาญจนบุรี'!I578+'จันทบุรี'!I578+'ฉะเชิงเทรา'!I578+'ชลบุรี'!I578+'ชัยนาท'!I578+'ตราด'!I578+'นครนายก'!I578+'นครปฐม'!I578+'ปทุมธานี'!I578+'ประจวบคีรีขันธ์'!I578+'ปราจีนบุรี'!I578+'พระนครศรีอยุธยา'!I578+'เพชรบุรี'!I578+'ระยอง'!I578+'ราชบุรี'!I578+'ลพบุรี'!I578+'สระแก้ว'!I578+'สระบุรี'!I578+'สิงห์บุรี'!I578+'สุพรรณบุรี'!I578+'อ่างทอง'!I578</f>
        <v>0</v>
      </c>
      <c r="J578" s="232">
        <f>'กาญจนบุรี'!J578+'จันทบุรี'!J578+'ฉะเชิงเทรา'!J578+'ชลบุรี'!J578+'ชัยนาท'!J578+'ตราด'!J578+'นครนายก'!J578+'นครปฐม'!J578+'ปทุมธานี'!J578+'ประจวบคีรีขันธ์'!J578+'ปราจีนบุรี'!J578+'พระนครศรีอยุธยา'!J578+'เพชรบุรี'!J578+'ระยอง'!J578+'ราชบุรี'!J578+'ลพบุรี'!J578+'สระแก้ว'!J578+'สระบุรี'!J578+'สิงห์บุรี'!J578+'สุพรรณบุรี'!J578+'อ่างทอง'!J578</f>
        <v>5</v>
      </c>
      <c r="K578" s="196">
        <f t="shared" si="63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'กาญจนบุรี'!I579+'จันทบุรี'!I579+'ฉะเชิงเทรา'!I579+'ชลบุรี'!I579+'ชัยนาท'!I579+'ตราด'!I579+'นครนายก'!I579+'นครปฐม'!I579+'ปทุมธานี'!I579+'ประจวบคีรีขันธ์'!I579+'ปราจีนบุรี'!I579+'พระนครศรีอยุธยา'!I579+'เพชรบุรี'!I579+'ระยอง'!I579+'ราชบุรี'!I579+'ลพบุรี'!I579+'สระแก้ว'!I579+'สระบุรี'!I579+'สิงห์บุรี'!I579+'สุพรรณบุรี'!I579+'อ่างทอง'!I579</f>
        <v>0</v>
      </c>
      <c r="J579" s="232">
        <f>'กาญจนบุรี'!J579+'จันทบุรี'!J579+'ฉะเชิงเทรา'!J579+'ชลบุรี'!J579+'ชัยนาท'!J579+'ตราด'!J579+'นครนายก'!J579+'นครปฐม'!J579+'ปทุมธานี'!J579+'ประจวบคีรีขันธ์'!J579+'ปราจีนบุรี'!J579+'พระนครศรีอยุธยา'!J579+'เพชรบุรี'!J579+'ระยอง'!J579+'ราชบุรี'!J579+'ลพบุรี'!J579+'สระแก้ว'!J579+'สระบุรี'!J579+'สิงห์บุรี'!J579+'สุพรรณบุรี'!J579+'อ่างทอง'!J579</f>
        <v>93</v>
      </c>
      <c r="K579" s="196">
        <f t="shared" si="63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'กาญจนบุรี'!I580+'จันทบุรี'!I580+'ฉะเชิงเทรา'!I580+'ชลบุรี'!I580+'ชัยนาท'!I580+'ตราด'!I580+'นครนายก'!I580+'นครปฐม'!I580+'ปทุมธานี'!I580+'ประจวบคีรีขันธ์'!I580+'ปราจีนบุรี'!I580+'พระนครศรีอยุธยา'!I580+'เพชรบุรี'!I580+'ระยอง'!I580+'ราชบุรี'!I580+'ลพบุรี'!I580+'สระแก้ว'!I580+'สระบุรี'!I580+'สิงห์บุรี'!I580+'สุพรรณบุรี'!I580+'อ่างทอง'!I580</f>
        <v>995</v>
      </c>
      <c r="J580" s="404">
        <f>'กาญจนบุรี'!J580+'จันทบุรี'!J580+'ฉะเชิงเทรา'!J580+'ชลบุรี'!J580+'ชัยนาท'!J580+'ตราด'!J580+'นครนายก'!J580+'นครปฐม'!J580+'ปทุมธานี'!J580+'ประจวบคีรีขันธ์'!J580+'ปราจีนบุรี'!J580+'พระนครศรีอยุธยา'!J580+'เพชรบุรี'!J580+'ระยอง'!J580+'ราชบุรี'!J580+'ลพบุรี'!J580+'สระแก้ว'!J580+'สระบุรี'!J580+'สิงห์บุรี'!J580+'สุพรรณบุรี'!J580+'อ่างทอง'!J580</f>
        <v>15</v>
      </c>
      <c r="K580" s="405">
        <f>IF(I580&gt;0,J580*100/I580,0)</f>
        <v>1.507537688</v>
      </c>
      <c r="L580" s="406">
        <f>'กาญจนบุรี'!L580+'จันทบุรี'!L580+'ฉะเชิงเทรา'!L580+'ชลบุรี'!L580+'ชัยนาท'!L580+'ตราด'!L580+'นครนายก'!L580+'นครปฐม'!L580+'ปทุมธานี'!L580+'ประจวบคีรีขันธ์'!L580+'ปราจีนบุรี'!L580+'พระนครศรีอยุธยา'!L580+'เพชรบุรี'!L580+'ระยอง'!L580+'ราชบุรี'!L580+'ลพบุรี'!L580+'สระแก้ว'!L580+'สระบุรี'!L580+'สิงห์บุรี'!L580+'สุพรรณบุรี'!L580+'อ่างทอง'!L580</f>
        <v>1584755</v>
      </c>
      <c r="M580" s="406"/>
      <c r="N580" s="406">
        <f>'กาญจนบุรี'!N580+'จันทบุรี'!N580+'ฉะเชิงเทรา'!N580+'ชลบุรี'!N580+'ชัยนาท'!N580+'ตราด'!N580+'นครนายก'!N580+'นครปฐม'!N580+'ปทุมธานี'!N580+'ประจวบคีรีขันธ์'!N580+'ปราจีนบุรี'!N580+'พระนครศรีอยุธยา'!N580+'เพชรบุรี'!N580+'ระยอง'!N580+'ราชบุรี'!N580+'ลพบุรี'!N580+'สระแก้ว'!N580+'สระบุรี'!N580+'สิงห์บุรี'!N580+'สุพรรณบุรี'!N580+'อ่างทอง'!N580</f>
        <v>90349.47</v>
      </c>
      <c r="O580" s="406">
        <f t="shared" ref="O580:O584" si="64">+IF(L580&gt;0,N580*100/L580,0)</f>
        <v>5.701163271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'กาญจนบุรี'!L581+'จันทบุรี'!L581+'ฉะเชิงเทรา'!L581+'ชลบุรี'!L581+'ชัยนาท'!L581+'ตราด'!L581+'นครนายก'!L581+'นครปฐม'!L581+'ปทุมธานี'!L581+'ประจวบคีรีขันธ์'!L581+'ปราจีนบุรี'!L581+'พระนครศรีอยุธยา'!L581+'เพชรบุรี'!L581+'ระยอง'!L581+'ราชบุรี'!L581+'ลพบุรี'!L581+'สระแก้ว'!L581+'สระบุรี'!L581+'สิงห์บุรี'!L581+'สุพรรณบุรี'!L581+'อ่างทอง'!L581</f>
        <v>0</v>
      </c>
      <c r="M581" s="197"/>
      <c r="N581" s="203">
        <f>'กาญจนบุรี'!N581+'จันทบุรี'!N581+'ฉะเชิงเทรา'!N581+'ชลบุรี'!N581+'ชัยนาท'!N581+'ตราด'!N581+'นครนายก'!N581+'นครปฐม'!N581+'ปทุมธานี'!N581+'ประจวบคีรีขันธ์'!N581+'ปราจีนบุรี'!N581+'พระนครศรีอยุธยา'!N581+'เพชรบุรี'!N581+'ระยอง'!N581+'ราชบุรี'!N581+'ลพบุรี'!N581+'สระแก้ว'!N581+'สระบุรี'!N581+'สิงห์บุรี'!N581+'สุพรรณบุรี'!N581+'อ่างทอง'!N581</f>
        <v>0</v>
      </c>
      <c r="O581" s="203">
        <f t="shared" si="64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'กาญจนบุรี'!L582+'จันทบุรี'!L582+'ฉะเชิงเทรา'!L582+'ชลบุรี'!L582+'ชัยนาท'!L582+'ตราด'!L582+'นครนายก'!L582+'นครปฐม'!L582+'ปทุมธานี'!L582+'ประจวบคีรีขันธ์'!L582+'ปราจีนบุรี'!L582+'พระนครศรีอยุธยา'!L582+'เพชรบุรี'!L582+'ระยอง'!L582+'ราชบุรี'!L582+'ลพบุรี'!L582+'สระแก้ว'!L582+'สระบุรี'!L582+'สิงห์บุรี'!L582+'สุพรรณบุรี'!L582+'อ่างทอง'!L582</f>
        <v>1584755</v>
      </c>
      <c r="M582" s="198"/>
      <c r="N582" s="203">
        <f>'กาญจนบุรี'!N582+'จันทบุรี'!N582+'ฉะเชิงเทรา'!N582+'ชลบุรี'!N582+'ชัยนาท'!N582+'ตราด'!N582+'นครนายก'!N582+'นครปฐม'!N582+'ปทุมธานี'!N582+'ประจวบคีรีขันธ์'!N582+'ปราจีนบุรี'!N582+'พระนครศรีอยุธยา'!N582+'เพชรบุรี'!N582+'ระยอง'!N582+'ราชบุรี'!N582+'ลพบุรี'!N582+'สระแก้ว'!N582+'สระบุรี'!N582+'สิงห์บุรี'!N582+'สุพรรณบุรี'!N582+'อ่างทอง'!N582</f>
        <v>90349.47</v>
      </c>
      <c r="O582" s="203">
        <f t="shared" si="64"/>
        <v>5.701163271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'กาญจนบุรี'!L583+'จันทบุรี'!L583+'ฉะเชิงเทรา'!L583+'ชลบุรี'!L583+'ชัยนาท'!L583+'ตราด'!L583+'นครนายก'!L583+'นครปฐม'!L583+'ปทุมธานี'!L583+'ประจวบคีรีขันธ์'!L583+'ปราจีนบุรี'!L583+'พระนครศรีอยุธยา'!L583+'เพชรบุรี'!L583+'ระยอง'!L583+'ราชบุรี'!L583+'ลพบุรี'!L583+'สระแก้ว'!L583+'สระบุรี'!L583+'สิงห์บุรี'!L583+'สุพรรณบุรี'!L583+'อ่างทอง'!L583</f>
        <v>0</v>
      </c>
      <c r="M583" s="203"/>
      <c r="N583" s="203">
        <f>'กาญจนบุรี'!N583+'จันทบุรี'!N583+'ฉะเชิงเทรา'!N583+'ชลบุรี'!N583+'ชัยนาท'!N583+'ตราด'!N583+'นครนายก'!N583+'นครปฐม'!N583+'ปทุมธานี'!N583+'ประจวบคีรีขันธ์'!N583+'ปราจีนบุรี'!N583+'พระนครศรีอยุธยา'!N583+'เพชรบุรี'!N583+'ระยอง'!N583+'ราชบุรี'!N583+'ลพบุรี'!N583+'สระแก้ว'!N583+'สระบุรี'!N583+'สิงห์บุรี'!N583+'สุพรรณบุรี'!N583+'อ่างทอง'!N583</f>
        <v>0</v>
      </c>
      <c r="O583" s="203">
        <f t="shared" si="64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'กาญจนบุรี'!L584+'จันทบุรี'!L584+'ฉะเชิงเทรา'!L584+'ชลบุรี'!L584+'ชัยนาท'!L584+'ตราด'!L584+'นครนายก'!L584+'นครปฐม'!L584+'ปทุมธานี'!L584+'ประจวบคีรีขันธ์'!L584+'ปราจีนบุรี'!L584+'พระนครศรีอยุธยา'!L584+'เพชรบุรี'!L584+'ระยอง'!L584+'ราชบุรี'!L584+'ลพบุรี'!L584+'สระแก้ว'!L584+'สระบุรี'!L584+'สิงห์บุรี'!L584+'สุพรรณบุรี'!L584+'อ่างทอง'!L584</f>
        <v>1584755</v>
      </c>
      <c r="M584" s="203"/>
      <c r="N584" s="203">
        <f>'กาญจนบุรี'!N584+'จันทบุรี'!N584+'ฉะเชิงเทรา'!N584+'ชลบุรี'!N584+'ชัยนาท'!N584+'ตราด'!N584+'นครนายก'!N584+'นครปฐม'!N584+'ปทุมธานี'!N584+'ประจวบคีรีขันธ์'!N584+'ปราจีนบุรี'!N584+'พระนครศรีอยุธยา'!N584+'เพชรบุรี'!N584+'ระยอง'!N584+'ราชบุรี'!N584+'ลพบุรี'!N584+'สระแก้ว'!N584+'สระบุรี'!N584+'สิงห์บุรี'!N584+'สุพรรณบุรี'!N584+'อ่างทอง'!N584</f>
        <v>90349.47</v>
      </c>
      <c r="O584" s="203">
        <f t="shared" si="64"/>
        <v>5.701163271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'กาญจนบุรี'!N585+'จันทบุรี'!N585+'ฉะเชิงเทรา'!N585+'ชลบุรี'!N585+'ชัยนาท'!N585+'ตราด'!N585+'นครนายก'!N585+'นครปฐม'!N585+'ปทุมธานี'!N585+'ประจวบคีรีขันธ์'!N585+'ปราจีนบุรี'!N585+'พระนครศรีอยุธยา'!N585+'เพชรบุรี'!N585+'ระยอง'!N585+'ราชบุรี'!N585+'ลพบุรี'!N585+'สระแก้ว'!N585+'สระบุรี'!N585+'สิงห์บุรี'!N585+'สุพรรณบุรี'!N585+'อ่างทอง'!N585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'กาญจนบุรี'!N586+'จันทบุรี'!N586+'ฉะเชิงเทรา'!N586+'ชลบุรี'!N586+'ชัยนาท'!N586+'ตราด'!N586+'นครนายก'!N586+'นครปฐม'!N586+'ปทุมธานี'!N586+'ประจวบคีรีขันธ์'!N586+'ปราจีนบุรี'!N586+'พระนครศรีอยุธยา'!N586+'เพชรบุรี'!N586+'ระยอง'!N586+'ราชบุรี'!N586+'ลพบุรี'!N586+'สระแก้ว'!N586+'สระบุรี'!N586+'สิงห์บุรี'!N586+'สุพรรณบุรี'!N586+'อ่างทอง'!N586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'กาญจนบุรี'!N587+'จันทบุรี'!N587+'ฉะเชิงเทรา'!N587+'ชลบุรี'!N587+'ชัยนาท'!N587+'ตราด'!N587+'นครนายก'!N587+'นครปฐม'!N587+'ปทุมธานี'!N587+'ประจวบคีรีขันธ์'!N587+'ปราจีนบุรี'!N587+'พระนครศรีอยุธยา'!N587+'เพชรบุรี'!N587+'ระยอง'!N587+'ราชบุรี'!N587+'ลพบุรี'!N587+'สระแก้ว'!N587+'สระบุรี'!N587+'สิงห์บุรี'!N587+'สุพรรณบุรี'!N587+'อ่างทอง'!N587</f>
        <v>65709.47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'กาญจนบุรี'!N588+'จันทบุรี'!N588+'ฉะเชิงเทรา'!N588+'ชลบุรี'!N588+'ชัยนาท'!N588+'ตราด'!N588+'นครนายก'!N588+'นครปฐม'!N588+'ปทุมธานี'!N588+'ประจวบคีรีขันธ์'!N588+'ปราจีนบุรี'!N588+'พระนครศรีอยุธยา'!N588+'เพชรบุรี'!N588+'ระยอง'!N588+'ราชบุรี'!N588+'ลพบุรี'!N588+'สระแก้ว'!N588+'สระบุรี'!N588+'สิงห์บุรี'!N588+'สุพรรณบุรี'!N588+'อ่างทอง'!N588</f>
        <v>24640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'กาญจนบุรี'!I589+'จันทบุรี'!I589+'ฉะเชิงเทรา'!I589+'ชลบุรี'!I589+'ชัยนาท'!I589+'ตราด'!I589+'นครนายก'!I589+'นครปฐม'!I589+'ปทุมธานี'!I589+'ประจวบคีรีขันธ์'!I589+'ปราจีนบุรี'!I589+'พระนครศรีอยุธยา'!I589+'เพชรบุรี'!I589+'ระยอง'!I589+'ราชบุรี'!I589+'ลพบุรี'!I589+'สระแก้ว'!I589+'สระบุรี'!I589+'สิงห์บุรี'!I589+'สุพรรณบุรี'!I589+'อ่างทอง'!I589</f>
        <v>995</v>
      </c>
      <c r="J589" s="222">
        <f>'กาญจนบุรี'!J589+'จันทบุรี'!J589+'ฉะเชิงเทรา'!J589+'ชลบุรี'!J589+'ชัยนาท'!J589+'ตราด'!J589+'นครนายก'!J589+'นครปฐม'!J589+'ปทุมธานี'!J589+'ประจวบคีรีขันธ์'!J589+'ปราจีนบุรี'!J589+'พระนครศรีอยุธยา'!J589+'เพชรบุรี'!J589+'ระยอง'!J589+'ราชบุรี'!J589+'ลพบุรี'!J589+'สระแก้ว'!J589+'สระบุรี'!J589+'สิงห์บุรี'!J589+'สุพรรณบุรี'!J589+'อ่างทอง'!J589</f>
        <v>191</v>
      </c>
      <c r="K589" s="196">
        <f t="shared" ref="K589:K596" si="65">IF(I589&gt;0,J589*100/I589,0)</f>
        <v>19.1959799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'กาญจนบุรี'!I590+'จันทบุรี'!I590+'ฉะเชิงเทรา'!I590+'ชลบุรี'!I590+'ชัยนาท'!I590+'ตราด'!I590+'นครนายก'!I590+'นครปฐม'!I590+'ปทุมธานี'!I590+'ประจวบคีรีขันธ์'!I590+'ปราจีนบุรี'!I590+'พระนครศรีอยุธยา'!I590+'เพชรบุรี'!I590+'ระยอง'!I590+'ราชบุรี'!I590+'ลพบุรี'!I590+'สระแก้ว'!I590+'สระบุรี'!I590+'สิงห์บุรี'!I590+'สุพรรณบุรี'!I590+'อ่างทอง'!I590</f>
        <v>0</v>
      </c>
      <c r="J590" s="222">
        <f>'กาญจนบุรี'!J590+'จันทบุรี'!J590+'ฉะเชิงเทรา'!J590+'ชลบุรี'!J590+'ชัยนาท'!J590+'ตราด'!J590+'นครนายก'!J590+'นครปฐม'!J590+'ปทุมธานี'!J590+'ประจวบคีรีขันธ์'!J590+'ปราจีนบุรี'!J590+'พระนครศรีอยุธยา'!J590+'เพชรบุรี'!J590+'ระยอง'!J590+'ราชบุรี'!J590+'ลพบุรี'!J590+'สระแก้ว'!J590+'สระบุรี'!J590+'สิงห์บุรี'!J590+'สุพรรณบุรี'!J590+'อ่างทอง'!J590</f>
        <v>143.55</v>
      </c>
      <c r="K590" s="512">
        <f t="shared" si="65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'กาญจนบุรี'!I591+'จันทบุรี'!I591+'ฉะเชิงเทรา'!I591+'ชลบุรี'!I591+'ชัยนาท'!I591+'ตราด'!I591+'นครนายก'!I591+'นครปฐม'!I591+'ปทุมธานี'!I591+'ประจวบคีรีขันธ์'!I591+'ปราจีนบุรี'!I591+'พระนครศรีอยุธยา'!I591+'เพชรบุรี'!I591+'ระยอง'!I591+'ราชบุรี'!I591+'ลพบุรี'!I591+'สระแก้ว'!I591+'สระบุรี'!I591+'สิงห์บุรี'!I591+'สุพรรณบุรี'!I591+'อ่างทอง'!I591</f>
        <v>995</v>
      </c>
      <c r="J591" s="222">
        <f>'กาญจนบุรี'!J591+'จันทบุรี'!J591+'ฉะเชิงเทรา'!J591+'ชลบุรี'!J591+'ชัยนาท'!J591+'ตราด'!J591+'นครนายก'!J591+'นครปฐม'!J591+'ปทุมธานี'!J591+'ประจวบคีรีขันธ์'!J591+'ปราจีนบุรี'!J591+'พระนครศรีอยุธยา'!J591+'เพชรบุรี'!J591+'ระยอง'!J591+'ราชบุรี'!J591+'ลพบุรี'!J591+'สระแก้ว'!J591+'สระบุรี'!J591+'สิงห์บุรี'!J591+'สุพรรณบุรี'!J591+'อ่างทอง'!J591</f>
        <v>16</v>
      </c>
      <c r="K591" s="196">
        <f t="shared" si="65"/>
        <v>1.608040201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'กาญจนบุรี'!I592+'จันทบุรี'!I592+'ฉะเชิงเทรา'!I592+'ชลบุรี'!I592+'ชัยนาท'!I592+'ตราด'!I592+'นครนายก'!I592+'นครปฐม'!I592+'ปทุมธานี'!I592+'ประจวบคีรีขันธ์'!I592+'ปราจีนบุรี'!I592+'พระนครศรีอยุธยา'!I592+'เพชรบุรี'!I592+'ระยอง'!I592+'ราชบุรี'!I592+'ลพบุรี'!I592+'สระแก้ว'!I592+'สระบุรี'!I592+'สิงห์บุรี'!I592+'สุพรรณบุรี'!I592+'อ่างทอง'!I592</f>
        <v>0</v>
      </c>
      <c r="J592" s="222">
        <f>'กาญจนบุรี'!J592+'จันทบุรี'!J592+'ฉะเชิงเทรา'!J592+'ชลบุรี'!J592+'ชัยนาท'!J592+'ตราด'!J592+'นครนายก'!J592+'นครปฐม'!J592+'ปทุมธานี'!J592+'ประจวบคีรีขันธ์'!J592+'ปราจีนบุรี'!J592+'พระนครศรีอยุธยา'!J592+'เพชรบุรี'!J592+'ระยอง'!J592+'ราชบุรี'!J592+'ลพบุรี'!J592+'สระแก้ว'!J592+'สระบุรี'!J592+'สิงห์บุรี'!J592+'สุพรรณบุรี'!J592+'อ่างทอง'!J592</f>
        <v>14.43</v>
      </c>
      <c r="K592" s="375">
        <f t="shared" si="65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'กาญจนบุรี'!I593+'จันทบุรี'!I593+'ฉะเชิงเทรา'!I593+'ชลบุรี'!I593+'ชัยนาท'!I593+'ตราด'!I593+'นครนายก'!I593+'นครปฐม'!I593+'ปทุมธานี'!I593+'ประจวบคีรีขันธ์'!I593+'ปราจีนบุรี'!I593+'พระนครศรีอยุธยา'!I593+'เพชรบุรี'!I593+'ระยอง'!I593+'ราชบุรี'!I593+'ลพบุรี'!I593+'สระแก้ว'!I593+'สระบุรี'!I593+'สิงห์บุรี'!I593+'สุพรรณบุรี'!I593+'อ่างทอง'!I593</f>
        <v>995</v>
      </c>
      <c r="J593" s="222">
        <f>'กาญจนบุรี'!J593+'จันทบุรี'!J593+'ฉะเชิงเทรา'!J593+'ชลบุรี'!J593+'ชัยนาท'!J593+'ตราด'!J593+'นครนายก'!J593+'นครปฐม'!J593+'ปทุมธานี'!J593+'ประจวบคีรีขันธ์'!J593+'ปราจีนบุรี'!J593+'พระนครศรีอยุธยา'!J593+'เพชรบุรี'!J593+'ระยอง'!J593+'ราชบุรี'!J593+'ลพบุรี'!J593+'สระแก้ว'!J593+'สระบุรี'!J593+'สิงห์บุรี'!J593+'สุพรรณบุรี'!J593+'อ่างทอง'!J593</f>
        <v>0</v>
      </c>
      <c r="K593" s="196">
        <f t="shared" si="65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'กาญจนบุรี'!I594+'จันทบุรี'!I594+'ฉะเชิงเทรา'!I594+'ชลบุรี'!I594+'ชัยนาท'!I594+'ตราด'!I594+'นครนายก'!I594+'นครปฐม'!I594+'ปทุมธานี'!I594+'ประจวบคีรีขันธ์'!I594+'ปราจีนบุรี'!I594+'พระนครศรีอยุธยา'!I594+'เพชรบุรี'!I594+'ระยอง'!I594+'ราชบุรี'!I594+'ลพบุรี'!I594+'สระแก้ว'!I594+'สระบุรี'!I594+'สิงห์บุรี'!I594+'สุพรรณบุรี'!I594+'อ่างทอง'!I594</f>
        <v>0</v>
      </c>
      <c r="J594" s="222">
        <f>'กาญจนบุรี'!J594+'จันทบุรี'!J594+'ฉะเชิงเทรา'!J594+'ชลบุรี'!J594+'ชัยนาท'!J594+'ตราด'!J594+'นครนายก'!J594+'นครปฐม'!J594+'ปทุมธานี'!J594+'ประจวบคีรีขันธ์'!J594+'ปราจีนบุรี'!J594+'พระนครศรีอยุธยา'!J594+'เพชรบุรี'!J594+'ระยอง'!J594+'ราชบุรี'!J594+'ลพบุรี'!J594+'สระแก้ว'!J594+'สระบุรี'!J594+'สิงห์บุรี'!J594+'สุพรรณบุรี'!J594+'อ่างทอง'!J594</f>
        <v>0</v>
      </c>
      <c r="K594" s="375">
        <f t="shared" si="65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'กาญจนบุรี'!I595+'จันทบุรี'!I595+'ฉะเชิงเทรา'!I595+'ชลบุรี'!I595+'ชัยนาท'!I595+'ตราด'!I595+'นครนายก'!I595+'นครปฐม'!I595+'ปทุมธานี'!I595+'ประจวบคีรีขันธ์'!I595+'ปราจีนบุรี'!I595+'พระนครศรีอยุธยา'!I595+'เพชรบุรี'!I595+'ระยอง'!I595+'ราชบุรี'!I595+'ลพบุรี'!I595+'สระแก้ว'!I595+'สระบุรี'!I595+'สิงห์บุรี'!I595+'สุพรรณบุรี'!I595+'อ่างทอง'!I595</f>
        <v>995</v>
      </c>
      <c r="J595" s="222">
        <f>'กาญจนบุรี'!J595+'จันทบุรี'!J595+'ฉะเชิงเทรา'!J595+'ชลบุรี'!J595+'ชัยนาท'!J595+'ตราด'!J595+'นครนายก'!J595+'นครปฐม'!J595+'ปทุมธานี'!J595+'ประจวบคีรีขันธ์'!J595+'ปราจีนบุรี'!J595+'พระนครศรีอยุธยา'!J595+'เพชรบุรี'!J595+'ระยอง'!J595+'ราชบุรี'!J595+'ลพบุรี'!J595+'สระแก้ว'!J595+'สระบุรี'!J595+'สิงห์บุรี'!J595+'สุพรรณบุรี'!J595+'อ่างทอง'!J595</f>
        <v>15</v>
      </c>
      <c r="K595" s="196">
        <f t="shared" si="65"/>
        <v>1.507537688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'กาญจนบุรี'!I596+'จันทบุรี'!I596+'ฉะเชิงเทรา'!I596+'ชลบุรี'!I596+'ชัยนาท'!I596+'ตราด'!I596+'นครนายก'!I596+'นครปฐม'!I596+'ปทุมธานี'!I596+'ประจวบคีรีขันธ์'!I596+'ปราจีนบุรี'!I596+'พระนครศรีอยุธยา'!I596+'เพชรบุรี'!I596+'ระยอง'!I596+'ราชบุรี'!I596+'ลพบุรี'!I596+'สระแก้ว'!I596+'สระบุรี'!I596+'สิงห์บุรี'!I596+'สุพรรณบุรี'!I596+'อ่างทอง'!I596</f>
        <v>0</v>
      </c>
      <c r="J596" s="275">
        <f>'กาญจนบุรี'!J596+'จันทบุรี'!J596+'ฉะเชิงเทรา'!J596+'ชลบุรี'!J596+'ชัยนาท'!J596+'ตราด'!J596+'นครนายก'!J596+'นครปฐม'!J596+'ปทุมธานี'!J596+'ประจวบคีรีขันธ์'!J596+'ปราจีนบุรี'!J596+'พระนครศรีอยุธยา'!J596+'เพชรบุรี'!J596+'ระยอง'!J596+'ราชบุรี'!J596+'ลพบุรี'!J596+'สระแก้ว'!J596+'สระบุรี'!J596+'สิงห์บุรี'!J596+'สุพรรณบุรี'!J596+'อ่างทอง'!J596</f>
        <v>14.92</v>
      </c>
      <c r="K596" s="519">
        <f t="shared" si="65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'กาญจนบุรี'!I597+'จันทบุรี'!I597+'ฉะเชิงเทรา'!I597+'ชลบุรี'!I597+'ชัยนาท'!I597+'ตราด'!I597+'นครนายก'!I597+'นครปฐม'!I597+'ปทุมธานี'!I597+'ประจวบคีรีขันธ์'!I597+'ปราจีนบุรี'!I597+'พระนครศรีอยุธยา'!I597+'เพชรบุรี'!I597+'ระยอง'!I597+'ราชบุรี'!I597+'ลพบุรี'!I597+'สระแก้ว'!I597+'สระบุรี'!I597+'สิงห์บุรี'!I597+'สุพรรณบุรี'!I597+'อ่างทอง'!I597</f>
        <v>1632</v>
      </c>
      <c r="J597" s="520">
        <f>'กาญจนบุรี'!J597+'จันทบุรี'!J597+'ฉะเชิงเทรา'!J597+'ชลบุรี'!J597+'ชัยนาท'!J597+'ตราด'!J597+'นครนายก'!J597+'นครปฐม'!J597+'ปทุมธานี'!J597+'ประจวบคีรีขันธ์'!J597+'ปราจีนบุรี'!J597+'พระนครศรีอยุธยา'!J597+'เพชรบุรี'!J597+'ระยอง'!J597+'ราชบุรี'!J597+'ลพบุรี'!J597+'สระแก้ว'!J597+'สระบุรี'!J597+'สิงห์บุรี'!J597+'สุพรรณบุรี'!J597+'อ่างทอง'!J597</f>
        <v>0</v>
      </c>
      <c r="K597" s="444">
        <f>IF(I597&gt;0,J597*100/I597,0)</f>
        <v>0</v>
      </c>
      <c r="L597" s="445">
        <f>'กาญจนบุรี'!L597+'จันทบุรี'!L597+'ฉะเชิงเทรา'!L597+'ชลบุรี'!L597+'ชัยนาท'!L597+'ตราด'!L597+'นครนายก'!L597+'นครปฐม'!L597+'ปทุมธานี'!L597+'ประจวบคีรีขันธ์'!L597+'ปราจีนบุรี'!L597+'พระนครศรีอยุธยา'!L597+'เพชรบุรี'!L597+'ระยอง'!L597+'ราชบุรี'!L597+'ลพบุรี'!L597+'สระแก้ว'!L597+'สระบุรี'!L597+'สิงห์บุรี'!L597+'สุพรรณบุรี'!L597+'อ่างทอง'!L597</f>
        <v>148960</v>
      </c>
      <c r="M597" s="445"/>
      <c r="N597" s="445">
        <f>'กาญจนบุรี'!N597+'จันทบุรี'!N597+'ฉะเชิงเทรา'!N597+'ชลบุรี'!N597+'ชัยนาท'!N597+'ตราด'!N597+'นครนายก'!N597+'นครปฐม'!N597+'ปทุมธานี'!N597+'ประจวบคีรีขันธ์'!N597+'ปราจีนบุรี'!N597+'พระนครศรีอยุธยา'!N597+'เพชรบุรี'!N597+'ระยอง'!N597+'ราชบุรี'!N597+'ลพบุรี'!N597+'สระแก้ว'!N597+'สระบุรี'!N597+'สิงห์บุรี'!N597+'สุพรรณบุรี'!N597+'อ่างทอง'!N597</f>
        <v>24730</v>
      </c>
      <c r="O597" s="445">
        <f t="shared" ref="O597:O601" si="66">+IF(L597&gt;0,N597*100/L597,0)</f>
        <v>16.60177229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'กาญจนบุรี'!L598+'จันทบุรี'!L598+'ฉะเชิงเทรา'!L598+'ชลบุรี'!L598+'ชัยนาท'!L598+'ตราด'!L598+'นครนายก'!L598+'นครปฐม'!L598+'ปทุมธานี'!L598+'ประจวบคีรีขันธ์'!L598+'ปราจีนบุรี'!L598+'พระนครศรีอยุธยา'!L598+'เพชรบุรี'!L598+'ระยอง'!L598+'ราชบุรี'!L598+'ลพบุรี'!L598+'สระแก้ว'!L598+'สระบุรี'!L598+'สิงห์บุรี'!L598+'สุพรรณบุรี'!L598+'อ่างทอง'!L598</f>
        <v>0</v>
      </c>
      <c r="M598" s="197"/>
      <c r="N598" s="203">
        <f>'กาญจนบุรี'!N598+'จันทบุรี'!N598+'ฉะเชิงเทรา'!N598+'ชลบุรี'!N598+'ชัยนาท'!N598+'ตราด'!N598+'นครนายก'!N598+'นครปฐม'!N598+'ปทุมธานี'!N598+'ประจวบคีรีขันธ์'!N598+'ปราจีนบุรี'!N598+'พระนครศรีอยุธยา'!N598+'เพชรบุรี'!N598+'ระยอง'!N598+'ราชบุรี'!N598+'ลพบุรี'!N598+'สระแก้ว'!N598+'สระบุรี'!N598+'สิงห์บุรี'!N598+'สุพรรณบุรี'!N598+'อ่างทอง'!N598</f>
        <v>0</v>
      </c>
      <c r="O598" s="203">
        <f t="shared" si="66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'กาญจนบุรี'!L599+'จันทบุรี'!L599+'ฉะเชิงเทรา'!L599+'ชลบุรี'!L599+'ชัยนาท'!L599+'ตราด'!L599+'นครนายก'!L599+'นครปฐม'!L599+'ปทุมธานี'!L599+'ประจวบคีรีขันธ์'!L599+'ปราจีนบุรี'!L599+'พระนครศรีอยุธยา'!L599+'เพชรบุรี'!L599+'ระยอง'!L599+'ราชบุรี'!L599+'ลพบุรี'!L599+'สระแก้ว'!L599+'สระบุรี'!L599+'สิงห์บุรี'!L599+'สุพรรณบุรี'!L599+'อ่างทอง'!L599</f>
        <v>148960</v>
      </c>
      <c r="M599" s="198"/>
      <c r="N599" s="203">
        <f>'กาญจนบุรี'!N599+'จันทบุรี'!N599+'ฉะเชิงเทรา'!N599+'ชลบุรี'!N599+'ชัยนาท'!N599+'ตราด'!N599+'นครนายก'!N599+'นครปฐม'!N599+'ปทุมธานี'!N599+'ประจวบคีรีขันธ์'!N599+'ปราจีนบุรี'!N599+'พระนครศรีอยุธยา'!N599+'เพชรบุรี'!N599+'ระยอง'!N599+'ราชบุรี'!N599+'ลพบุรี'!N599+'สระแก้ว'!N599+'สระบุรี'!N599+'สิงห์บุรี'!N599+'สุพรรณบุรี'!N599+'อ่างทอง'!N599</f>
        <v>24730</v>
      </c>
      <c r="O599" s="203">
        <f t="shared" si="66"/>
        <v>16.60177229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'กาญจนบุรี'!L600+'จันทบุรี'!L600+'ฉะเชิงเทรา'!L600+'ชลบุรี'!L600+'ชัยนาท'!L600+'ตราด'!L600+'นครนายก'!L600+'นครปฐม'!L600+'ปทุมธานี'!L600+'ประจวบคีรีขันธ์'!L600+'ปราจีนบุรี'!L600+'พระนครศรีอยุธยา'!L600+'เพชรบุรี'!L600+'ระยอง'!L600+'ราชบุรี'!L600+'ลพบุรี'!L600+'สระแก้ว'!L600+'สระบุรี'!L600+'สิงห์บุรี'!L600+'สุพรรณบุรี'!L600+'อ่างทอง'!L600</f>
        <v>0</v>
      </c>
      <c r="M600" s="203"/>
      <c r="N600" s="203">
        <f>'กาญจนบุรี'!N600+'จันทบุรี'!N600+'ฉะเชิงเทรา'!N600+'ชลบุรี'!N600+'ชัยนาท'!N600+'ตราด'!N600+'นครนายก'!N600+'นครปฐม'!N600+'ปทุมธานี'!N600+'ประจวบคีรีขันธ์'!N600+'ปราจีนบุรี'!N600+'พระนครศรีอยุธยา'!N600+'เพชรบุรี'!N600+'ระยอง'!N600+'ราชบุรี'!N600+'ลพบุรี'!N600+'สระแก้ว'!N600+'สระบุรี'!N600+'สิงห์บุรี'!N600+'สุพรรณบุรี'!N600+'อ่างทอง'!N600</f>
        <v>0</v>
      </c>
      <c r="O600" s="203">
        <f t="shared" si="66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'กาญจนบุรี'!L601+'จันทบุรี'!L601+'ฉะเชิงเทรา'!L601+'ชลบุรี'!L601+'ชัยนาท'!L601+'ตราด'!L601+'นครนายก'!L601+'นครปฐม'!L601+'ปทุมธานี'!L601+'ประจวบคีรีขันธ์'!L601+'ปราจีนบุรี'!L601+'พระนครศรีอยุธยา'!L601+'เพชรบุรี'!L601+'ระยอง'!L601+'ราชบุรี'!L601+'ลพบุรี'!L601+'สระแก้ว'!L601+'สระบุรี'!L601+'สิงห์บุรี'!L601+'สุพรรณบุรี'!L601+'อ่างทอง'!L601</f>
        <v>148960</v>
      </c>
      <c r="M601" s="203"/>
      <c r="N601" s="203">
        <f>'กาญจนบุรี'!N601+'จันทบุรี'!N601+'ฉะเชิงเทรา'!N601+'ชลบุรี'!N601+'ชัยนาท'!N601+'ตราด'!N601+'นครนายก'!N601+'นครปฐม'!N601+'ปทุมธานี'!N601+'ประจวบคีรีขันธ์'!N601+'ปราจีนบุรี'!N601+'พระนครศรีอยุธยา'!N601+'เพชรบุรี'!N601+'ระยอง'!N601+'ราชบุรี'!N601+'ลพบุรี'!N601+'สระแก้ว'!N601+'สระบุรี'!N601+'สิงห์บุรี'!N601+'สุพรรณบุรี'!N601+'อ่างทอง'!N601</f>
        <v>24730</v>
      </c>
      <c r="O601" s="203">
        <f t="shared" si="66"/>
        <v>16.60177229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'กาญจนบุรี'!N602+'จันทบุรี'!N602+'ฉะเชิงเทรา'!N602+'ชลบุรี'!N602+'ชัยนาท'!N602+'ตราด'!N602+'นครนายก'!N602+'นครปฐม'!N602+'ปทุมธานี'!N602+'ประจวบคีรีขันธ์'!N602+'ปราจีนบุรี'!N602+'พระนครศรีอยุธยา'!N602+'เพชรบุรี'!N602+'ระยอง'!N602+'ราชบุรี'!N602+'ลพบุรี'!N602+'สระแก้ว'!N602+'สระบุรี'!N602+'สิงห์บุรี'!N602+'สุพรรณบุรี'!N602+'อ่างทอง'!N602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'กาญจนบุรี'!N603+'จันทบุรี'!N603+'ฉะเชิงเทรา'!N603+'ชลบุรี'!N603+'ชัยนาท'!N603+'ตราด'!N603+'นครนายก'!N603+'นครปฐม'!N603+'ปทุมธานี'!N603+'ประจวบคีรีขันธ์'!N603+'ปราจีนบุรี'!N603+'พระนครศรีอยุธยา'!N603+'เพชรบุรี'!N603+'ระยอง'!N603+'ราชบุรี'!N603+'ลพบุรี'!N603+'สระแก้ว'!N603+'สระบุรี'!N603+'สิงห์บุรี'!N603+'สุพรรณบุรี'!N603+'อ่างทอง'!N603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'กาญจนบุรี'!N604+'จันทบุรี'!N604+'ฉะเชิงเทรา'!N604+'ชลบุรี'!N604+'ชัยนาท'!N604+'ตราด'!N604+'นครนายก'!N604+'นครปฐม'!N604+'ปทุมธานี'!N604+'ประจวบคีรีขันธ์'!N604+'ปราจีนบุรี'!N604+'พระนครศรีอยุธยา'!N604+'เพชรบุรี'!N604+'ระยอง'!N604+'ราชบุรี'!N604+'ลพบุรี'!N604+'สระแก้ว'!N604+'สระบุรี'!N604+'สิงห์บุรี'!N604+'สุพรรณบุรี'!N604+'อ่างทอง'!N604</f>
        <v>4000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'กาญจนบุรี'!N605+'จันทบุรี'!N605+'ฉะเชิงเทรา'!N605+'ชลบุรี'!N605+'ชัยนาท'!N605+'ตราด'!N605+'นครนายก'!N605+'นครปฐม'!N605+'ปทุมธานี'!N605+'ประจวบคีรีขันธ์'!N605+'ปราจีนบุรี'!N605+'พระนครศรีอยุธยา'!N605+'เพชรบุรี'!N605+'ระยอง'!N605+'ราชบุรี'!N605+'ลพบุรี'!N605+'สระแก้ว'!N605+'สระบุรี'!N605+'สิงห์บุรี'!N605+'สุพรรณบุรี'!N605+'อ่างทอง'!N605</f>
        <v>20730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'กาญจนบุรี'!J607+'จันทบุรี'!J607+'ฉะเชิงเทรา'!J607+'ชลบุรี'!J607+'ชัยนาท'!J607+'ตราด'!J607+'นครนายก'!J607+'นครปฐม'!J607+'ปทุมธานี'!J607+'ประจวบคีรีขันธ์'!J607+'ปราจีนบุรี'!J607+'พระนครศรีอยุธยา'!J607+'เพชรบุรี'!J607+'ระยอง'!J607+'ราชบุรี'!J607+'ลพบุรี'!J607+'สระแก้ว'!J607+'สระบุรี'!J607+'สิงห์บุรี'!J607+'สุพรรณบุรี'!J607+'อ่างทอง'!J607</f>
        <v>4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'กาญจนบุรี'!J608+'จันทบุรี'!J608+'ฉะเชิงเทรา'!J608+'ชลบุรี'!J608+'ชัยนาท'!J608+'ตราด'!J608+'นครนายก'!J608+'นครปฐม'!J608+'ปทุมธานี'!J608+'ประจวบคีรีขันธ์'!J608+'ปราจีนบุรี'!J608+'พระนครศรีอยุธยา'!J608+'เพชรบุรี'!J608+'ระยอง'!J608+'ราชบุรี'!J608+'ลพบุรี'!J608+'สระแก้ว'!J608+'สระบุรี'!J608+'สิงห์บุรี'!J608+'สุพรรณบุรี'!J608+'อ่างทอง'!J608</f>
        <v>11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'กาญจนบุรี'!J609+'จันทบุรี'!J609+'ฉะเชิงเทรา'!J609+'ชลบุรี'!J609+'ชัยนาท'!J609+'ตราด'!J609+'นครนายก'!J609+'นครปฐม'!J609+'ปทุมธานี'!J609+'ประจวบคีรีขันธ์'!J609+'ปราจีนบุรี'!J609+'พระนครศรีอยุธยา'!J609+'เพชรบุรี'!J609+'ระยอง'!J609+'ราชบุรี'!J609+'ลพบุรี'!J609+'สระแก้ว'!J609+'สระบุรี'!J609+'สิงห์บุรี'!J609+'สุพรรณบุรี'!J609+'อ่างทอง'!J609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'กาญจนบุรี'!J610+'จันทบุรี'!J610+'ฉะเชิงเทรา'!J610+'ชลบุรี'!J610+'ชัยนาท'!J610+'ตราด'!J610+'นครนายก'!J610+'นครปฐม'!J610+'ปทุมธานี'!J610+'ประจวบคีรีขันธ์'!J610+'ปราจีนบุรี'!J610+'พระนครศรีอยุธยา'!J610+'เพชรบุรี'!J610+'ระยอง'!J610+'ราชบุรี'!J610+'ลพบุรี'!J610+'สระแก้ว'!J610+'สระบุรี'!J610+'สิงห์บุรี'!J610+'สุพรรณบุรี'!J610+'อ่างทอง'!J610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'กาญจนบุรี'!I611+'จันทบุรี'!I611+'ฉะเชิงเทรา'!I611+'ชลบุรี'!I611+'ชัยนาท'!I611+'ตราด'!I611+'นครนายก'!I611+'นครปฐม'!I611+'ปทุมธานี'!I611+'ประจวบคีรีขันธ์'!I611+'ปราจีนบุรี'!I611+'พระนครศรีอยุธยา'!I611+'เพชรบุรี'!I611+'ระยอง'!I611+'ราชบุรี'!I611+'ลพบุรี'!I611+'สระแก้ว'!I611+'สระบุรี'!I611+'สิงห์บุรี'!I611+'สุพรรณบุรี'!I611+'อ่างทอง'!I611</f>
        <v>1632</v>
      </c>
      <c r="J611" s="195">
        <f>'กาญจนบุรี'!J611+'จันทบุรี'!J611+'ฉะเชิงเทรา'!J611+'ชลบุรี'!J611+'ชัยนาท'!J611+'ตราด'!J611+'นครนายก'!J611+'นครปฐม'!J611+'ปทุมธานี'!J611+'ประจวบคีรีขันธ์'!J611+'ปราจีนบุรี'!J611+'พระนครศรีอยุธยา'!J611+'เพชรบุรี'!J611+'ระยอง'!J611+'ราชบุรี'!J611+'ลพบุรี'!J611+'สระแก้ว'!J611+'สระบุรี'!J611+'สิงห์บุรี'!J611+'สุพรรณบุรี'!J611+'อ่างทอง'!J611</f>
        <v>0</v>
      </c>
      <c r="K611" s="196">
        <f t="shared" ref="K611:K619" si="67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'กาญจนบุรี'!I612+'จันทบุรี'!I612+'ฉะเชิงเทรา'!I612+'ชลบุรี'!I612+'ชัยนาท'!I612+'ตราด'!I612+'นครนายก'!I612+'นครปฐม'!I612+'ปทุมธานี'!I612+'ประจวบคีรีขันธ์'!I612+'ปราจีนบุรี'!I612+'พระนครศรีอยุธยา'!I612+'เพชรบุรี'!I612+'ระยอง'!I612+'ราชบุรี'!I612+'ลพบุรี'!I612+'สระแก้ว'!I612+'สระบุรี'!I612+'สิงห์บุรี'!I612+'สุพรรณบุรี'!I612+'อ่างทอง'!I612</f>
        <v>0</v>
      </c>
      <c r="J612" s="232">
        <f>'กาญจนบุรี'!J612+'จันทบุรี'!J612+'ฉะเชิงเทรา'!J612+'ชลบุรี'!J612+'ชัยนาท'!J612+'ตราด'!J612+'นครนายก'!J612+'นครปฐม'!J612+'ปทุมธานี'!J612+'ประจวบคีรีขันธ์'!J612+'ปราจีนบุรี'!J612+'พระนครศรีอยุธยา'!J612+'เพชรบุรี'!J612+'ระยอง'!J612+'ราชบุรี'!J612+'ลพบุรี'!J612+'สระแก้ว'!J612+'สระบุรี'!J612+'สิงห์บุรี'!J612+'สุพรรณบุรี'!J612+'อ่างทอง'!J612</f>
        <v>158</v>
      </c>
      <c r="K612" s="196">
        <f t="shared" si="67"/>
        <v>9.681372549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'กาญจนบุรี'!I613+'จันทบุรี'!I613+'ฉะเชิงเทรา'!I613+'ชลบุรี'!I613+'ชัยนาท'!I613+'ตราด'!I613+'นครนายก'!I613+'นครปฐม'!I613+'ปทุมธานี'!I613+'ประจวบคีรีขันธ์'!I613+'ปราจีนบุรี'!I613+'พระนครศรีอยุธยา'!I613+'เพชรบุรี'!I613+'ระยอง'!I613+'ราชบุรี'!I613+'ลพบุรี'!I613+'สระแก้ว'!I613+'สระบุรี'!I613+'สิงห์บุรี'!I613+'สุพรรณบุรี'!I613+'อ่างทอง'!I613</f>
        <v>0</v>
      </c>
      <c r="J613" s="232">
        <f>'กาญจนบุรี'!J613+'จันทบุรี'!J613+'ฉะเชิงเทรา'!J613+'ชลบุรี'!J613+'ชัยนาท'!J613+'ตราด'!J613+'นครนายก'!J613+'นครปฐม'!J613+'ปทุมธานี'!J613+'ประจวบคีรีขันธ์'!J613+'ปราจีนบุรี'!J613+'พระนครศรีอยุธยา'!J613+'เพชรบุรี'!J613+'ระยอง'!J613+'ราชบุรี'!J613+'ลพบุรี'!J613+'สระแก้ว'!J613+'สระบุรี'!J613+'สิงห์บุรี'!J613+'สุพรรณบุรี'!J613+'อ่างทอง'!J613</f>
        <v>158</v>
      </c>
      <c r="K613" s="196">
        <f t="shared" si="67"/>
        <v>9.681372549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'กาญจนบุรี'!I614+'จันทบุรี'!I614+'ฉะเชิงเทรา'!I614+'ชลบุรี'!I614+'ชัยนาท'!I614+'ตราด'!I614+'นครนายก'!I614+'นครปฐม'!I614+'ปทุมธานี'!I614+'ประจวบคีรีขันธ์'!I614+'ปราจีนบุรี'!I614+'พระนครศรีอยุธยา'!I614+'เพชรบุรี'!I614+'ระยอง'!I614+'ราชบุรี'!I614+'ลพบุรี'!I614+'สระแก้ว'!I614+'สระบุรี'!I614+'สิงห์บุรี'!I614+'สุพรรณบุรี'!I614+'อ่างทอง'!I614</f>
        <v>0</v>
      </c>
      <c r="J614" s="232">
        <f>'กาญจนบุรี'!J614+'จันทบุรี'!J614+'ฉะเชิงเทรา'!J614+'ชลบุรี'!J614+'ชัยนาท'!J614+'ตราด'!J614+'นครนายก'!J614+'นครปฐม'!J614+'ปทุมธานี'!J614+'ประจวบคีรีขันธ์'!J614+'ปราจีนบุรี'!J614+'พระนครศรีอยุธยา'!J614+'เพชรบุรี'!J614+'ระยอง'!J614+'ราชบุรี'!J614+'ลพบุรี'!J614+'สระแก้ว'!J614+'สระบุรี'!J614+'สิงห์บุรี'!J614+'สุพรรณบุรี'!J614+'อ่างทอง'!J614</f>
        <v>0</v>
      </c>
      <c r="K614" s="196">
        <f t="shared" si="67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'กาญจนบุรี'!I615+'จันทบุรี'!I615+'ฉะเชิงเทรา'!I615+'ชลบุรี'!I615+'ชัยนาท'!I615+'ตราด'!I615+'นครนายก'!I615+'นครปฐม'!I615+'ปทุมธานี'!I615+'ประจวบคีรีขันธ์'!I615+'ปราจีนบุรี'!I615+'พระนครศรีอยุธยา'!I615+'เพชรบุรี'!I615+'ระยอง'!I615+'ราชบุรี'!I615+'ลพบุรี'!I615+'สระแก้ว'!I615+'สระบุรี'!I615+'สิงห์บุรี'!I615+'สุพรรณบุรี'!I615+'อ่างทอง'!I615</f>
        <v>0</v>
      </c>
      <c r="J615" s="232">
        <f>'กาญจนบุรี'!J615+'จันทบุรี'!J615+'ฉะเชิงเทรา'!J615+'ชลบุรี'!J615+'ชัยนาท'!J615+'ตราด'!J615+'นครนายก'!J615+'นครปฐม'!J615+'ปทุมธานี'!J615+'ประจวบคีรีขันธ์'!J615+'ปราจีนบุรี'!J615+'พระนครศรีอยุธยา'!J615+'เพชรบุรี'!J615+'ระยอง'!J615+'ราชบุรี'!J615+'ลพบุรี'!J615+'สระแก้ว'!J615+'สระบุรี'!J615+'สิงห์บุรี'!J615+'สุพรรณบุรี'!J615+'อ่างทอง'!J615</f>
        <v>0</v>
      </c>
      <c r="K615" s="196">
        <f t="shared" si="67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'กาญจนบุรี'!I616+'จันทบุรี'!I616+'ฉะเชิงเทรา'!I616+'ชลบุรี'!I616+'ชัยนาท'!I616+'ตราด'!I616+'นครนายก'!I616+'นครปฐม'!I616+'ปทุมธานี'!I616+'ประจวบคีรีขันธ์'!I616+'ปราจีนบุรี'!I616+'พระนครศรีอยุธยา'!I616+'เพชรบุรี'!I616+'ระยอง'!I616+'ราชบุรี'!I616+'ลพบุรี'!I616+'สระแก้ว'!I616+'สระบุรี'!I616+'สิงห์บุรี'!I616+'สุพรรณบุรี'!I616+'อ่างทอง'!I616</f>
        <v>0</v>
      </c>
      <c r="J616" s="232">
        <f>'กาญจนบุรี'!J616+'จันทบุรี'!J616+'ฉะเชิงเทรา'!J616+'ชลบุรี'!J616+'ชัยนาท'!J616+'ตราด'!J616+'นครนายก'!J616+'นครปฐม'!J616+'ปทุมธานี'!J616+'ประจวบคีรีขันธ์'!J616+'ปราจีนบุรี'!J616+'พระนครศรีอยุธยา'!J616+'เพชรบุรี'!J616+'ระยอง'!J616+'ราชบุรี'!J616+'ลพบุรี'!J616+'สระแก้ว'!J616+'สระบุรี'!J616+'สิงห์บุรี'!J616+'สุพรรณบุรี'!J616+'อ่างทอง'!J616</f>
        <v>0</v>
      </c>
      <c r="K616" s="196">
        <f t="shared" si="67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'กาญจนบุรี'!I617+'จันทบุรี'!I617+'ฉะเชิงเทรา'!I617+'ชลบุรี'!I617+'ชัยนาท'!I617+'ตราด'!I617+'นครนายก'!I617+'นครปฐม'!I617+'ปทุมธานี'!I617+'ประจวบคีรีขันธ์'!I617+'ปราจีนบุรี'!I617+'พระนครศรีอยุธยา'!I617+'เพชรบุรี'!I617+'ระยอง'!I617+'ราชบุรี'!I617+'ลพบุรี'!I617+'สระแก้ว'!I617+'สระบุรี'!I617+'สิงห์บุรี'!I617+'สุพรรณบุรี'!I617+'อ่างทอง'!I617</f>
        <v>0</v>
      </c>
      <c r="J617" s="222">
        <f>'กาญจนบุรี'!J617+'จันทบุรี'!J617+'ฉะเชิงเทรา'!J617+'ชลบุรี'!J617+'ชัยนาท'!J617+'ตราด'!J617+'นครนายก'!J617+'นครปฐม'!J617+'ปทุมธานี'!J617+'ประจวบคีรีขันธ์'!J617+'ปราจีนบุรี'!J617+'พระนครศรีอยุธยา'!J617+'เพชรบุรี'!J617+'ระยอง'!J617+'ราชบุรี'!J617+'ลพบุรี'!J617+'สระแก้ว'!J617+'สระบุรี'!J617+'สิงห์บุรี'!J617+'สุพรรณบุรี'!J617+'อ่างทอง'!J617</f>
        <v>0</v>
      </c>
      <c r="K617" s="196">
        <f t="shared" si="67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'กาญจนบุรี'!I618+'จันทบุรี'!I618+'ฉะเชิงเทรา'!I618+'ชลบุรี'!I618+'ชัยนาท'!I618+'ตราด'!I618+'นครนายก'!I618+'นครปฐม'!I618+'ปทุมธานี'!I618+'ประจวบคีรีขันธ์'!I618+'ปราจีนบุรี'!I618+'พระนครศรีอยุธยา'!I618+'เพชรบุรี'!I618+'ระยอง'!I618+'ราชบุรี'!I618+'ลพบุรี'!I618+'สระแก้ว'!I618+'สระบุรี'!I618+'สิงห์บุรี'!I618+'สุพรรณบุรี'!I618+'อ่างทอง'!I618</f>
        <v>0</v>
      </c>
      <c r="J618" s="223">
        <f>'กาญจนบุรี'!J618+'จันทบุรี'!J618+'ฉะเชิงเทรา'!J618+'ชลบุรี'!J618+'ชัยนาท'!J618+'ตราด'!J618+'นครนายก'!J618+'นครปฐม'!J618+'ปทุมธานี'!J618+'ประจวบคีรีขันธ์'!J618+'ปราจีนบุรี'!J618+'พระนครศรีอยุธยา'!J618+'เพชรบุรี'!J618+'ระยอง'!J618+'ราชบุรี'!J618+'ลพบุรี'!J618+'สระแก้ว'!J618+'สระบุรี'!J618+'สิงห์บุรี'!J618+'สุพรรณบุรี'!J618+'อ่างทอง'!J618</f>
        <v>0</v>
      </c>
      <c r="K618" s="196">
        <f t="shared" si="67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'กาญจนบุรี'!I619+'จันทบุรี'!I619+'ฉะเชิงเทรา'!I619+'ชลบุรี'!I619+'ชัยนาท'!I619+'ตราด'!I619+'นครนายก'!I619+'นครปฐม'!I619+'ปทุมธานี'!I619+'ประจวบคีรีขันธ์'!I619+'ปราจีนบุรี'!I619+'พระนครศรีอยุธยา'!I619+'เพชรบุรี'!I619+'ระยอง'!I619+'ราชบุรี'!I619+'ลพบุรี'!I619+'สระแก้ว'!I619+'สระบุรี'!I619+'สิงห์บุรี'!I619+'สุพรรณบุรี'!I619+'อ่างทอง'!I619</f>
        <v>0</v>
      </c>
      <c r="J619" s="223">
        <f>'กาญจนบุรี'!J619+'จันทบุรี'!J619+'ฉะเชิงเทรา'!J619+'ชลบุรี'!J619+'ชัยนาท'!J619+'ตราด'!J619+'นครนายก'!J619+'นครปฐม'!J619+'ปทุมธานี'!J619+'ประจวบคีรีขันธ์'!J619+'ปราจีนบุรี'!J619+'พระนครศรีอยุธยา'!J619+'เพชรบุรี'!J619+'ระยอง'!J619+'ราชบุรี'!J619+'ลพบุรี'!J619+'สระแก้ว'!J619+'สระบุรี'!J619+'สิงห์บุรี'!J619+'สุพรรณบุรี'!J619+'อ่างทอง'!J619</f>
        <v>0</v>
      </c>
      <c r="K619" s="196">
        <f t="shared" si="67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'กาญจนบุรี'!I620+'จันทบุรี'!I620+'ฉะเชิงเทรา'!I620+'ชลบุรี'!I620+'ชัยนาท'!I620+'ตราด'!I620+'นครนายก'!I620+'นครปฐม'!I620+'ปทุมธานี'!I620+'ประจวบคีรีขันธ์'!I620+'ปราจีนบุรี'!I620+'พระนครศรีอยุธยา'!I620+'เพชรบุรี'!I620+'ระยอง'!I620+'ราชบุรี'!I620+'ลพบุรี'!I620+'สระแก้ว'!I620+'สระบุรี'!I620+'สิงห์บุรี'!I620+'สุพรรณบุรี'!I620+'อ่างทอง'!I620</f>
        <v>2051</v>
      </c>
      <c r="J620" s="237">
        <f>'กาญจนบุรี'!J620+'จันทบุรี'!J620+'ฉะเชิงเทรา'!J620+'ชลบุรี'!J620+'ชัยนาท'!J620+'ตราด'!J620+'นครนายก'!J620+'นครปฐม'!J620+'ปทุมธานี'!J620+'ประจวบคีรีขันธ์'!J620+'ปราจีนบุรี'!J620+'พระนครศรีอยุธยา'!J620+'เพชรบุรี'!J620+'ระยอง'!J620+'ราชบุรี'!J620+'ลพบุรี'!J620+'สระแก้ว'!J620+'สระบุรี'!J620+'สิงห์บุรี'!J620+'สุพรรณบุรี'!J620+'อ่างทอง'!J620</f>
        <v>0</v>
      </c>
      <c r="K620" s="196">
        <f t="shared" ref="K620:K626" si="68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'กาญจนบุรี'!I621+'จันทบุรี'!I621+'ฉะเชิงเทรา'!I621+'ชลบุรี'!I621+'ชัยนาท'!I621+'ตราด'!I621+'นครนายก'!I621+'นครปฐม'!I621+'ปทุมธานี'!I621+'ประจวบคีรีขันธ์'!I621+'ปราจีนบุรี'!I621+'พระนครศรีอยุธยา'!I621+'เพชรบุรี'!I621+'ระยอง'!I621+'ราชบุรี'!I621+'ลพบุรี'!I621+'สระแก้ว'!I621+'สระบุรี'!I621+'สิงห์บุรี'!I621+'สุพรรณบุรี'!I621+'อ่างทอง'!I621</f>
        <v>0</v>
      </c>
      <c r="J621" s="237">
        <f>'กาญจนบุรี'!J621+'จันทบุรี'!J621+'ฉะเชิงเทรา'!J621+'ชลบุรี'!J621+'ชัยนาท'!J621+'ตราด'!J621+'นครนายก'!J621+'นครปฐม'!J621+'ปทุมธานี'!J621+'ประจวบคีรีขันธ์'!J621+'ปราจีนบุรี'!J621+'พระนครศรีอยุธยา'!J621+'เพชรบุรี'!J621+'ระยอง'!J621+'ราชบุรี'!J621+'ลพบุรี'!J621+'สระแก้ว'!J621+'สระบุรี'!J621+'สิงห์บุรี'!J621+'สุพรรณบุรี'!J621+'อ่างทอง'!J621</f>
        <v>0</v>
      </c>
      <c r="K621" s="196">
        <f t="shared" si="68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'กาญจนบุรี'!I622+'จันทบุรี'!I622+'ฉะเชิงเทรา'!I622+'ชลบุรี'!I622+'ชัยนาท'!I622+'ตราด'!I622+'นครนายก'!I622+'นครปฐม'!I622+'ปทุมธานี'!I622+'ประจวบคีรีขันธ์'!I622+'ปราจีนบุรี'!I622+'พระนครศรีอยุธยา'!I622+'เพชรบุรี'!I622+'ระยอง'!I622+'ราชบุรี'!I622+'ลพบุรี'!I622+'สระแก้ว'!I622+'สระบุรี'!I622+'สิงห์บุรี'!I622+'สุพรรณบุรี'!I622+'อ่างทอง'!I622</f>
        <v>0</v>
      </c>
      <c r="J622" s="223">
        <f>'กาญจนบุรี'!J622+'จันทบุรี'!J622+'ฉะเชิงเทรา'!J622+'ชลบุรี'!J622+'ชัยนาท'!J622+'ตราด'!J622+'นครนายก'!J622+'นครปฐม'!J622+'ปทุมธานี'!J622+'ประจวบคีรีขันธ์'!J622+'ปราจีนบุรี'!J622+'พระนครศรีอยุธยา'!J622+'เพชรบุรี'!J622+'ระยอง'!J622+'ราชบุรี'!J622+'ลพบุรี'!J622+'สระแก้ว'!J622+'สระบุรี'!J622+'สิงห์บุรี'!J622+'สุพรรณบุรี'!J622+'อ่างทอง'!J622</f>
        <v>0</v>
      </c>
      <c r="K622" s="196">
        <f t="shared" si="68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'กาญจนบุรี'!I623+'จันทบุรี'!I623+'ฉะเชิงเทรา'!I623+'ชลบุรี'!I623+'ชัยนาท'!I623+'ตราด'!I623+'นครนายก'!I623+'นครปฐม'!I623+'ปทุมธานี'!I623+'ประจวบคีรีขันธ์'!I623+'ปราจีนบุรี'!I623+'พระนครศรีอยุธยา'!I623+'เพชรบุรี'!I623+'ระยอง'!I623+'ราชบุรี'!I623+'ลพบุรี'!I623+'สระแก้ว'!I623+'สระบุรี'!I623+'สิงห์บุรี'!I623+'สุพรรณบุรี'!I623+'อ่างทอง'!I623</f>
        <v>0</v>
      </c>
      <c r="J623" s="223">
        <f>'กาญจนบุรี'!J623+'จันทบุรี'!J623+'ฉะเชิงเทรา'!J623+'ชลบุรี'!J623+'ชัยนาท'!J623+'ตราด'!J623+'นครนายก'!J623+'นครปฐม'!J623+'ปทุมธานี'!J623+'ประจวบคีรีขันธ์'!J623+'ปราจีนบุรี'!J623+'พระนครศรีอยุธยา'!J623+'เพชรบุรี'!J623+'ระยอง'!J623+'ราชบุรี'!J623+'ลพบุรี'!J623+'สระแก้ว'!J623+'สระบุรี'!J623+'สิงห์บุรี'!J623+'สุพรรณบุรี'!J623+'อ่างทอง'!J623</f>
        <v>0</v>
      </c>
      <c r="K623" s="196">
        <f t="shared" si="68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'กาญจนบุรี'!I624+'จันทบุรี'!I624+'ฉะเชิงเทรา'!I624+'ชลบุรี'!I624+'ชัยนาท'!I624+'ตราด'!I624+'นครนายก'!I624+'นครปฐม'!I624+'ปทุมธานี'!I624+'ประจวบคีรีขันธ์'!I624+'ปราจีนบุรี'!I624+'พระนครศรีอยุธยา'!I624+'เพชรบุรี'!I624+'ระยอง'!I624+'ราชบุรี'!I624+'ลพบุรี'!I624+'สระแก้ว'!I624+'สระบุรี'!I624+'สิงห์บุรี'!I624+'สุพรรณบุรี'!I624+'อ่างทอง'!I624</f>
        <v>0</v>
      </c>
      <c r="J624" s="222">
        <f>'กาญจนบุรี'!J624+'จันทบุรี'!J624+'ฉะเชิงเทรา'!J624+'ชลบุรี'!J624+'ชัยนาท'!J624+'ตราด'!J624+'นครนายก'!J624+'นครปฐม'!J624+'ปทุมธานี'!J624+'ประจวบคีรีขันธ์'!J624+'ปราจีนบุรี'!J624+'พระนครศรีอยุธยา'!J624+'เพชรบุรี'!J624+'ระยอง'!J624+'ราชบุรี'!J624+'ลพบุรี'!J624+'สระแก้ว'!J624+'สระบุรี'!J624+'สิงห์บุรี'!J624+'สุพรรณบุรี'!J624+'อ่างทอง'!J624</f>
        <v>0</v>
      </c>
      <c r="K624" s="196">
        <f t="shared" si="68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'กาญจนบุรี'!I625+'จันทบุรี'!I625+'ฉะเชิงเทรา'!I625+'ชลบุรี'!I625+'ชัยนาท'!I625+'ตราด'!I625+'นครนายก'!I625+'นครปฐม'!I625+'ปทุมธานี'!I625+'ประจวบคีรีขันธ์'!I625+'ปราจีนบุรี'!I625+'พระนครศรีอยุธยา'!I625+'เพชรบุรี'!I625+'ระยอง'!I625+'ราชบุรี'!I625+'ลพบุรี'!I625+'สระแก้ว'!I625+'สระบุรี'!I625+'สิงห์บุรี'!I625+'สุพรรณบุรี'!I625+'อ่างทอง'!I625</f>
        <v>0</v>
      </c>
      <c r="J625" s="223">
        <f>'กาญจนบุรี'!J625+'จันทบุรี'!J625+'ฉะเชิงเทรา'!J625+'ชลบุรี'!J625+'ชัยนาท'!J625+'ตราด'!J625+'นครนายก'!J625+'นครปฐม'!J625+'ปทุมธานี'!J625+'ประจวบคีรีขันธ์'!J625+'ปราจีนบุรี'!J625+'พระนครศรีอยุธยา'!J625+'เพชรบุรี'!J625+'ระยอง'!J625+'ราชบุรี'!J625+'ลพบุรี'!J625+'สระแก้ว'!J625+'สระบุรี'!J625+'สิงห์บุรี'!J625+'สุพรรณบุรี'!J625+'อ่างทอง'!J625</f>
        <v>0</v>
      </c>
      <c r="K625" s="196">
        <f t="shared" si="68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'กาญจนบุรี'!I626+'จันทบุรี'!I626+'ฉะเชิงเทรา'!I626+'ชลบุรี'!I626+'ชัยนาท'!I626+'ตราด'!I626+'นครนายก'!I626+'นครปฐม'!I626+'ปทุมธานี'!I626+'ประจวบคีรีขันธ์'!I626+'ปราจีนบุรี'!I626+'พระนครศรีอยุธยา'!I626+'เพชรบุรี'!I626+'ระยอง'!I626+'ราชบุรี'!I626+'ลพบุรี'!I626+'สระแก้ว'!I626+'สระบุรี'!I626+'สิงห์บุรี'!I626+'สุพรรณบุรี'!I626+'อ่างทอง'!I626</f>
        <v>0</v>
      </c>
      <c r="J626" s="223">
        <f>'กาญจนบุรี'!J626+'จันทบุรี'!J626+'ฉะเชิงเทรา'!J626+'ชลบุรี'!J626+'ชัยนาท'!J626+'ตราด'!J626+'นครนายก'!J626+'นครปฐม'!J626+'ปทุมธานี'!J626+'ประจวบคีรีขันธ์'!J626+'ปราจีนบุรี'!J626+'พระนครศรีอยุธยา'!J626+'เพชรบุรี'!J626+'ระยอง'!J626+'ราชบุรี'!J626+'ลพบุรี'!J626+'สระแก้ว'!J626+'สระบุรี'!J626+'สิงห์บุรี'!J626+'สุพรรณบุรี'!J626+'อ่างทอง'!J626</f>
        <v>0</v>
      </c>
      <c r="K626" s="196">
        <f t="shared" si="68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'กาญจนบุรี'!I628+'จันทบุรี'!I628+'ฉะเชิงเทรา'!I628+'ชลบุรี'!I628+'ชัยนาท'!I628+'ตราด'!I628+'นครนายก'!I628+'นครปฐม'!I628+'ปทุมธานี'!I628+'ประจวบคีรีขันธ์'!I628+'ปราจีนบุรี'!I628+'พระนครศรีอยุธยา'!I628+'เพชรบุรี'!I628+'ระยอง'!I628+'ราชบุรี'!I628+'ลพบุรี'!I628+'สระแก้ว'!I628+'สระบุรี'!I628+'สิงห์บุรี'!I628+'สุพรรณบุรี'!I628+'อ่างทอง'!I628</f>
        <v>96557254.7</v>
      </c>
      <c r="J628" s="374">
        <f>'กาญจนบุรี'!J628+'จันทบุรี'!J628+'ฉะเชิงเทรา'!J628+'ชลบุรี'!J628+'ชัยนาท'!J628+'ตราด'!J628+'นครนายก'!J628+'นครปฐม'!J628+'ปทุมธานี'!J628+'ประจวบคีรีขันธ์'!J628+'ปราจีนบุรี'!J628+'พระนครศรีอยุธยา'!J628+'เพชรบุรี'!J628+'ระยอง'!J628+'ราชบุรี'!J628+'ลพบุรี'!J628+'สระแก้ว'!J628+'สระบุรี'!J628+'สิงห์บุรี'!J628+'สุพรรณบุรี'!J628+'อ่างทอง'!J628</f>
        <v>10930351.17</v>
      </c>
      <c r="K628" s="375">
        <f t="shared" ref="K628:K635" si="69">IF(I628&gt;0,J628*100/I628,0)</f>
        <v>11.32007243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'กาญจนบุรี'!I629+'จันทบุรี'!I629+'ฉะเชิงเทรา'!I629+'ชลบุรี'!I629+'ชัยนาท'!I629+'ตราด'!I629+'นครนายก'!I629+'นครปฐม'!I629+'ปทุมธานี'!I629+'ประจวบคีรีขันธ์'!I629+'ปราจีนบุรี'!I629+'พระนครศรีอยุธยา'!I629+'เพชรบุรี'!I629+'ระยอง'!I629+'ราชบุรี'!I629+'ลพบุรี'!I629+'สระแก้ว'!I629+'สระบุรี'!I629+'สิงห์บุรี'!I629+'สุพรรณบุรี'!I629+'อ่างทอง'!I629</f>
        <v>3830</v>
      </c>
      <c r="J629" s="374">
        <f>'กาญจนบุรี'!J629+'จันทบุรี'!J629+'ฉะเชิงเทรา'!J629+'ชลบุรี'!J629+'ชัยนาท'!J629+'ตราด'!J629+'นครนายก'!J629+'นครปฐม'!J629+'ปทุมธานี'!J629+'ประจวบคีรีขันธ์'!J629+'ปราจีนบุรี'!J629+'พระนครศรีอยุธยา'!J629+'เพชรบุรี'!J629+'ระยอง'!J629+'ราชบุรี'!J629+'ลพบุรี'!J629+'สระแก้ว'!J629+'สระบุรี'!J629+'สิงห์บุรี'!J629+'สุพรรณบุรี'!J629+'อ่างทอง'!J629</f>
        <v>495</v>
      </c>
      <c r="K629" s="375">
        <f t="shared" si="69"/>
        <v>12.92428198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'กาญจนบุรี'!I630+'จันทบุรี'!I630+'ฉะเชิงเทรา'!I630+'ชลบุรี'!I630+'ชัยนาท'!I630+'ตราด'!I630+'นครนายก'!I630+'นครปฐม'!I630+'ปทุมธานี'!I630+'ประจวบคีรีขันธ์'!I630+'ปราจีนบุรี'!I630+'พระนครศรีอยุธยา'!I630+'เพชรบุรี'!I630+'ระยอง'!I630+'ราชบุรี'!I630+'ลพบุรี'!I630+'สระแก้ว'!I630+'สระบุรี'!I630+'สิงห์บุรี'!I630+'สุพรรณบุรี'!I630+'อ่างทอง'!I630</f>
        <v>116697706.7</v>
      </c>
      <c r="J630" s="374">
        <f>'กาญจนบุรี'!J630+'จันทบุรี'!J630+'ฉะเชิงเทรา'!J630+'ชลบุรี'!J630+'ชัยนาท'!J630+'ตราด'!J630+'นครนายก'!J630+'นครปฐม'!J630+'ปทุมธานี'!J630+'ประจวบคีรีขันธ์'!J630+'ปราจีนบุรี'!J630+'พระนครศรีอยุธยา'!J630+'เพชรบุรี'!J630+'ระยอง'!J630+'ราชบุรี'!J630+'ลพบุรี'!J630+'สระแก้ว'!J630+'สระบุรี'!J630+'สิงห์บุรี'!J630+'สุพรรณบุรี'!J630+'อ่างทอง'!J630</f>
        <v>4889542.85</v>
      </c>
      <c r="K630" s="375">
        <f t="shared" si="69"/>
        <v>4.189921969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'กาญจนบุรี'!I631+'จันทบุรี'!I631+'ฉะเชิงเทรา'!I631+'ชลบุรี'!I631+'ชัยนาท'!I631+'ตราด'!I631+'นครนายก'!I631+'นครปฐม'!I631+'ปทุมธานี'!I631+'ประจวบคีรีขันธ์'!I631+'ปราจีนบุรี'!I631+'พระนครศรีอยุธยา'!I631+'เพชรบุรี'!I631+'ระยอง'!I631+'ราชบุรี'!I631+'ลพบุรี'!I631+'สระแก้ว'!I631+'สระบุรี'!I631+'สิงห์บุรี'!I631+'สุพรรณบุรี'!I631+'อ่างทอง'!I631</f>
        <v>3474</v>
      </c>
      <c r="J631" s="374">
        <f>'กาญจนบุรี'!J631+'จันทบุรี'!J631+'ฉะเชิงเทรา'!J631+'ชลบุรี'!J631+'ชัยนาท'!J631+'ตราด'!J631+'นครนายก'!J631+'นครปฐม'!J631+'ปทุมธานี'!J631+'ประจวบคีรีขันธ์'!J631+'ปราจีนบุรี'!J631+'พระนครศรีอยุธยา'!J631+'เพชรบุรี'!J631+'ระยอง'!J631+'ราชบุรี'!J631+'ลพบุรี'!J631+'สระแก้ว'!J631+'สระบุรี'!J631+'สิงห์บุรี'!J631+'สุพรรณบุรี'!J631+'อ่างทอง'!J631</f>
        <v>835</v>
      </c>
      <c r="K631" s="375">
        <f t="shared" si="69"/>
        <v>24.03569372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'กาญจนบุรี'!I632+'จันทบุรี'!I632+'ฉะเชิงเทรา'!I632+'ชลบุรี'!I632+'ชัยนาท'!I632+'ตราด'!I632+'นครนายก'!I632+'นครปฐม'!I632+'ปทุมธานี'!I632+'ประจวบคีรีขันธ์'!I632+'ปราจีนบุรี'!I632+'พระนครศรีอยุธยา'!I632+'เพชรบุรี'!I632+'ระยอง'!I632+'ราชบุรี'!I632+'ลพบุรี'!I632+'สระแก้ว'!I632+'สระบุรี'!I632+'สิงห์บุรี'!I632+'สุพรรณบุรี'!I632+'อ่างทอง'!I632</f>
        <v>47757058.13</v>
      </c>
      <c r="J632" s="374">
        <f>'กาญจนบุรี'!J632+'จันทบุรี'!J632+'ฉะเชิงเทรา'!J632+'ชลบุรี'!J632+'ชัยนาท'!J632+'ตราด'!J632+'นครนายก'!J632+'นครปฐม'!J632+'ปทุมธานี'!J632+'ประจวบคีรีขันธ์'!J632+'ปราจีนบุรี'!J632+'พระนครศรีอยุธยา'!J632+'เพชรบุรี'!J632+'ระยอง'!J632+'ราชบุรี'!J632+'ลพบุรี'!J632+'สระแก้ว'!J632+'สระบุรี'!J632+'สิงห์บุรี'!J632+'สุพรรณบุรี'!J632+'อ่างทอง'!J632</f>
        <v>4108779.62</v>
      </c>
      <c r="K632" s="375">
        <f t="shared" si="69"/>
        <v>8.603502353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'กาญจนบุรี'!I633+'จันทบุรี'!I633+'ฉะเชิงเทรา'!I633+'ชลบุรี'!I633+'ชัยนาท'!I633+'ตราด'!I633+'นครนายก'!I633+'นครปฐม'!I633+'ปทุมธานี'!I633+'ประจวบคีรีขันธ์'!I633+'ปราจีนบุรี'!I633+'พระนครศรีอยุธยา'!I633+'เพชรบุรี'!I633+'ระยอง'!I633+'ราชบุรี'!I633+'ลพบุรี'!I633+'สระแก้ว'!I633+'สระบุรี'!I633+'สิงห์บุรี'!I633+'สุพรรณบุรี'!I633+'อ่างทอง'!I633</f>
        <v>11053</v>
      </c>
      <c r="J633" s="374">
        <f>'กาญจนบุรี'!J633+'จันทบุรี'!J633+'ฉะเชิงเทรา'!J633+'ชลบุรี'!J633+'ชัยนาท'!J633+'ตราด'!J633+'นครนายก'!J633+'นครปฐม'!J633+'ปทุมธานี'!J633+'ประจวบคีรีขันธ์'!J633+'ปราจีนบุรี'!J633+'พระนครศรีอยุธยา'!J633+'เพชรบุรี'!J633+'ระยอง'!J633+'ราชบุรี'!J633+'ลพบุรี'!J633+'สระแก้ว'!J633+'สระบุรี'!J633+'สิงห์บุรี'!J633+'สุพรรณบุรี'!J633+'อ่างทอง'!J633</f>
        <v>1243</v>
      </c>
      <c r="K633" s="375">
        <f t="shared" si="69"/>
        <v>11.24581562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'กาญจนบุรี'!I634+'จันทบุรี'!I634+'ฉะเชิงเทรา'!I634+'ชลบุรี'!I634+'ชัยนาท'!I634+'ตราด'!I634+'นครนายก'!I634+'นครปฐม'!I634+'ปทุมธานี'!I634+'ประจวบคีรีขันธ์'!I634+'ปราจีนบุรี'!I634+'พระนครศรีอยุธยา'!I634+'เพชรบุรี'!I634+'ระยอง'!I634+'ราชบุรี'!I634+'ลพบุรี'!I634+'สระแก้ว'!I634+'สระบุรี'!I634+'สิงห์บุรี'!I634+'สุพรรณบุรี'!I634+'อ่างทอง'!I634</f>
        <v>90975000</v>
      </c>
      <c r="J634" s="374">
        <f>'กาญจนบุรี'!J634+'จันทบุรี'!J634+'ฉะเชิงเทรา'!J634+'ชลบุรี'!J634+'ชัยนาท'!J634+'ตราด'!J634+'นครนายก'!J634+'นครปฐม'!J634+'ปทุมธานี'!J634+'ประจวบคีรีขันธ์'!J634+'ปราจีนบุรี'!J634+'พระนครศรีอยุธยา'!J634+'เพชรบุรี'!J634+'ระยอง'!J634+'ราชบุรี'!J634+'ลพบุรี'!J634+'สระแก้ว'!J634+'สระบุรี'!J634+'สิงห์บุรี'!J634+'สุพรรณบุรี'!J634+'อ่างทอง'!J634</f>
        <v>6135000</v>
      </c>
      <c r="K634" s="375">
        <f t="shared" si="69"/>
        <v>6.743610882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'กาญจนบุรี'!I635+'จันทบุรี'!I635+'ฉะเชิงเทรา'!I635+'ชลบุรี'!I635+'ชัยนาท'!I635+'ตราด'!I635+'นครนายก'!I635+'นครปฐม'!I635+'ปทุมธานี'!I635+'ประจวบคีรีขันธ์'!I635+'ปราจีนบุรี'!I635+'พระนครศรีอยุธยา'!I635+'เพชรบุรี'!I635+'ระยอง'!I635+'ราชบุรี'!I635+'ลพบุรี'!I635+'สระแก้ว'!I635+'สระบุรี'!I635+'สิงห์บุรี'!I635+'สุพรรณบุรี'!I635+'อ่างทอง'!I635</f>
        <v>2640</v>
      </c>
      <c r="J635" s="544">
        <f>'กาญจนบุรี'!J635+'จันทบุรี'!J635+'ฉะเชิงเทรา'!J635+'ชลบุรี'!J635+'ชัยนาท'!J635+'ตราด'!J635+'นครนายก'!J635+'นครปฐม'!J635+'ปทุมธานี'!J635+'ประจวบคีรีขันธ์'!J635+'ปราจีนบุรี'!J635+'พระนครศรีอยุธยา'!J635+'เพชรบุรี'!J635+'ระยอง'!J635+'ราชบุรี'!J635+'ลพบุรี'!J635+'สระแก้ว'!J635+'สระบุรี'!J635+'สิงห์บุรี'!J635+'สุพรรณบุรี'!J635+'อ่างทอง'!J635</f>
        <v>172</v>
      </c>
      <c r="K635" s="519">
        <f t="shared" si="69"/>
        <v>6.515151515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255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3287795</v>
      </c>
      <c r="M8" s="41">
        <f t="shared" si="1"/>
        <v>1237215</v>
      </c>
      <c r="N8" s="41">
        <f t="shared" si="1"/>
        <v>1288576.03</v>
      </c>
      <c r="O8" s="40">
        <f t="shared" ref="O8:O16" si="3">IF(L8&gt;0,N8*100/L8,0)</f>
        <v>39.19271214</v>
      </c>
      <c r="P8" s="40">
        <f t="shared" ref="P8:P16" si="4">IF(M8&gt;0,N8*100/M8,0)</f>
        <v>104.1513423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3287795</v>
      </c>
      <c r="M10" s="48">
        <f t="shared" si="5"/>
        <v>1237215</v>
      </c>
      <c r="N10" s="48">
        <f t="shared" si="5"/>
        <v>1288576.03</v>
      </c>
      <c r="O10" s="47">
        <f t="shared" si="3"/>
        <v>39.19271214</v>
      </c>
      <c r="P10" s="47">
        <f t="shared" si="4"/>
        <v>104.1513423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2937195</v>
      </c>
      <c r="M12" s="58">
        <f t="shared" si="7"/>
        <v>1237215</v>
      </c>
      <c r="N12" s="58">
        <f t="shared" si="7"/>
        <v>937976.03</v>
      </c>
      <c r="O12" s="58">
        <f t="shared" si="3"/>
        <v>31.93441464</v>
      </c>
      <c r="P12" s="58">
        <f t="shared" si="4"/>
        <v>75.81350291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1897800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1039395</v>
      </c>
      <c r="M14" s="58">
        <f t="shared" si="9"/>
        <v>0</v>
      </c>
      <c r="N14" s="58">
        <f t="shared" si="9"/>
        <v>195433.03</v>
      </c>
      <c r="O14" s="61">
        <f t="shared" si="3"/>
        <v>18.80257554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350600</v>
      </c>
      <c r="M16" s="58">
        <f t="shared" si="11"/>
        <v>0</v>
      </c>
      <c r="N16" s="58">
        <f t="shared" si="11"/>
        <v>350600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2726905</v>
      </c>
      <c r="M18" s="41">
        <f t="shared" si="12"/>
        <v>1237215</v>
      </c>
      <c r="N18" s="41">
        <f t="shared" si="12"/>
        <v>1093143</v>
      </c>
      <c r="O18" s="40">
        <f t="shared" ref="O18:O20" si="14">IF(L18&gt;0,N18*100/L18,0)</f>
        <v>40.08731511</v>
      </c>
      <c r="P18" s="40">
        <f t="shared" ref="P18:P26" si="15">IF(M18&gt;0,N18*100/M18,0)</f>
        <v>88.35513633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2726905</v>
      </c>
      <c r="M20" s="48">
        <f t="shared" si="16"/>
        <v>1237215</v>
      </c>
      <c r="N20" s="48">
        <f t="shared" si="16"/>
        <v>1093143</v>
      </c>
      <c r="O20" s="47">
        <f t="shared" si="14"/>
        <v>40.08731511</v>
      </c>
      <c r="P20" s="47">
        <f t="shared" si="15"/>
        <v>88.35513633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2376305</v>
      </c>
      <c r="M22" s="62">
        <f t="shared" si="18"/>
        <v>1237215</v>
      </c>
      <c r="N22" s="61">
        <f t="shared" si="18"/>
        <v>742543</v>
      </c>
      <c r="O22" s="61">
        <f t="shared" si="19"/>
        <v>31.24779858</v>
      </c>
      <c r="P22" s="61">
        <f t="shared" si="15"/>
        <v>60.01729691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1897800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478505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350600</v>
      </c>
      <c r="M26" s="70">
        <f t="shared" si="23"/>
        <v>0</v>
      </c>
      <c r="N26" s="70">
        <f t="shared" si="23"/>
        <v>350600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560890</v>
      </c>
      <c r="M28" s="41">
        <f t="shared" si="24"/>
        <v>0</v>
      </c>
      <c r="N28" s="41">
        <f t="shared" si="24"/>
        <v>195433.03</v>
      </c>
      <c r="O28" s="40">
        <f t="shared" ref="O28:O30" si="26">IF(L28&gt;0,N28*100/L28,0)</f>
        <v>34.84337927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560890</v>
      </c>
      <c r="M30" s="48">
        <f t="shared" si="28"/>
        <v>0</v>
      </c>
      <c r="N30" s="48">
        <f t="shared" si="28"/>
        <v>195433.03</v>
      </c>
      <c r="O30" s="47">
        <f t="shared" si="26"/>
        <v>34.84337927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560890</v>
      </c>
      <c r="M32" s="61">
        <f t="shared" si="30"/>
        <v>0</v>
      </c>
      <c r="N32" s="61">
        <f t="shared" si="30"/>
        <v>195433.03</v>
      </c>
      <c r="O32" s="61">
        <f t="shared" si="31"/>
        <v>34.84337927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560890</v>
      </c>
      <c r="M34" s="61">
        <f t="shared" si="33"/>
        <v>0</v>
      </c>
      <c r="N34" s="61">
        <f t="shared" si="33"/>
        <v>195433.03</v>
      </c>
      <c r="O34" s="61">
        <f t="shared" si="31"/>
        <v>34.84337927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2726905</v>
      </c>
      <c r="M37" s="75">
        <f t="shared" si="34"/>
        <v>1237215</v>
      </c>
      <c r="N37" s="75">
        <f t="shared" si="34"/>
        <v>1093143</v>
      </c>
      <c r="O37" s="76">
        <f t="shared" si="31"/>
        <v>40.08731511</v>
      </c>
      <c r="P37" s="76">
        <f t="shared" si="27"/>
        <v>88.35513633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1011300</v>
      </c>
      <c r="M41" s="102">
        <f t="shared" si="35"/>
        <v>330400</v>
      </c>
      <c r="N41" s="102">
        <f t="shared" si="35"/>
        <v>617663</v>
      </c>
      <c r="O41" s="101">
        <f t="shared" ref="O41:O43" si="37">IF(L41&gt;0,N41*100/L41,0)</f>
        <v>61.07613962</v>
      </c>
      <c r="P41" s="101">
        <f t="shared" ref="P41:P43" si="38">IF(M41&gt;0,N41*100/M41,0)</f>
        <v>186.9440073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1011300</v>
      </c>
      <c r="M43" s="102">
        <f t="shared" si="39"/>
        <v>330400</v>
      </c>
      <c r="N43" s="102">
        <f t="shared" si="39"/>
        <v>617663</v>
      </c>
      <c r="O43" s="101">
        <f t="shared" si="37"/>
        <v>61.07613962</v>
      </c>
      <c r="P43" s="101">
        <f t="shared" si="38"/>
        <v>186.9440073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660700</v>
      </c>
      <c r="M45" s="70">
        <f>IFERROR(__xludf.DUMMYFUNCTION("IMPORTRANGE(""https://docs.google.com/spreadsheets/d/1Yj_ptqi66GCucihVvJfMjLAmec39IyEx_6qawtMGysU/edit?usp=sharing"",""สบก!Q67"")"),330400.0)</f>
        <v>330400</v>
      </c>
      <c r="N45" s="70">
        <f>IFERROR(__xludf.DUMMYFUNCTION("IMPORTRANGE(""https://docs.google.com/spreadsheets/d/1Yj_ptqi66GCucihVvJfMjLAmec39IyEx_6qawtMGysU/edit?usp=sharing"",""สบก!R67"")"),267063.0)</f>
        <v>267063</v>
      </c>
      <c r="O45" s="61">
        <f>IF(L45&gt;0,N45*100/L45,0)</f>
        <v>40.42121992</v>
      </c>
      <c r="P45" s="61">
        <f>IF(M45&gt;0,N45*100/M45,0)</f>
        <v>80.83020581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IFERROR(__xludf.DUMMYFUNCTION("IMPORTRANGE(""https://docs.google.com/spreadsheets/d/1Yj_ptqi66GCucihVvJfMjLAmec39IyEx_6qawtMGysU/edit?usp=sharing"",""สบก!M67"")"),660700.0)</f>
        <v>660700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IFERROR(__xludf.DUMMYFUNCTION("IMPORTRANGE(""https://docs.google.com/spreadsheets/d/1Yj_ptqi66GCucihVvJfMjLAmec39IyEx_6qawtMGysU/edit?usp=sharing"",""สบก!N67"")"),0.0)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IFERROR(__xludf.DUMMYFUNCTION("IMPORTRANGE(""https://docs.google.com/spreadsheets/d/1Yj_ptqi66GCucihVvJfMjLAmec39IyEx_6qawtMGysU/edit?usp=sharing"",""สบก!O67"")"),350600.0)</f>
        <v>350600</v>
      </c>
      <c r="M49" s="70"/>
      <c r="N49" s="70">
        <f>IFERROR(__xludf.DUMMYFUNCTION("IMPORTRANGE(""https://docs.google.com/spreadsheets/d/1Yj_ptqi66GCucihVvJfMjLAmec39IyEx_6qawtMGysU/edit?usp=sharing"",""สบก!S67"")"),350600.0)</f>
        <v>350600</v>
      </c>
      <c r="O49" s="70">
        <f>IF(L49&gt;0,N49*100/L49,0)</f>
        <v>100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400000</v>
      </c>
      <c r="M53" s="151">
        <f t="shared" si="40"/>
        <v>213500</v>
      </c>
      <c r="N53" s="151">
        <f t="shared" si="40"/>
        <v>152648</v>
      </c>
      <c r="O53" s="150">
        <f t="shared" ref="O53:O55" si="42">IF(L53&gt;0,N53*100/L53,0)</f>
        <v>38.162</v>
      </c>
      <c r="P53" s="150">
        <f t="shared" ref="P53:P55" si="43">IF(M53&gt;0,N53*100/M53,0)</f>
        <v>71.49789227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400000</v>
      </c>
      <c r="M55" s="151">
        <f t="shared" si="44"/>
        <v>213500</v>
      </c>
      <c r="N55" s="151">
        <f t="shared" si="44"/>
        <v>152648</v>
      </c>
      <c r="O55" s="150">
        <f t="shared" si="42"/>
        <v>38.162</v>
      </c>
      <c r="P55" s="150">
        <f t="shared" si="43"/>
        <v>71.49789227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400000</v>
      </c>
      <c r="M57" s="70">
        <f>IFERROR(__xludf.DUMMYFUNCTION("IMPORTRANGE(""https://docs.google.com/spreadsheets/d/1Yj_ptqi66GCucihVvJfMjLAmec39IyEx_6qawtMGysU/edit?usp=sharing"",""สบก!Z67"")"),213500.0)</f>
        <v>213500</v>
      </c>
      <c r="N57" s="70">
        <f>IFERROR(__xludf.DUMMYFUNCTION("IMPORTRANGE(""https://docs.google.com/spreadsheets/d/1Yj_ptqi66GCucihVvJfMjLAmec39IyEx_6qawtMGysU/edit?usp=sharing"",""สบก!AA67"")"),152648.0)</f>
        <v>152648</v>
      </c>
      <c r="O57" s="61">
        <f>IF(L57&gt;0,N57*100/L57,0)</f>
        <v>38.162</v>
      </c>
      <c r="P57" s="61">
        <f>IF(M57&gt;0,N57*100/M57,0)</f>
        <v>71.49789227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IFERROR(__xludf.DUMMYFUNCTION("IMPORTRANGE(""https://docs.google.com/spreadsheets/d/1Yj_ptqi66GCucihVvJfMjLAmec39IyEx_6qawtMGysU/edit?usp=sharing"",""สบก!V67"")"),400000.0)</f>
        <v>400000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IFERROR(__xludf.DUMMYFUNCTION("IMPORTRANGE(""https://docs.google.com/spreadsheets/d/1Yj_ptqi66GCucihVvJfMjLAmec39IyEx_6qawtMGysU/edit?usp=sharing"",""สบก!W67"")"),0.0)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IFERROR(__xludf.DUMMYFUNCTION("IMPORTRANGE(""https://docs.google.com/spreadsheets/d/1Yj_ptqi66GCucihVvJfMjLAmec39IyEx_6qawtMGysU/edit?usp=sharing"",""สบก!X67"")"),0.0)</f>
        <v>0</v>
      </c>
      <c r="M61" s="70"/>
      <c r="N61" s="70">
        <f>IFERROR(__xludf.DUMMYFUNCTION("IMPORTRANGE(""https://docs.google.com/spreadsheets/d/1Yj_ptqi66GCucihVvJfMjLAmec39IyEx_6qawtMGysU/edit?usp=sharing"",""สบก!AB67"")"),0.0)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IFERROR(__xludf.DUMMYFUNCTION("IMPORTRANGE(""https://docs.google.com/spreadsheets/d/1SX6NBoVAgQJ6U1MVXOaj8PK2l7WJ3RER9xtqwdhxkhw/edit?usp=sharing"",""ปทุมธานี!I9"")"),0.0)</f>
        <v>0</v>
      </c>
      <c r="J64" s="172">
        <f>IFERROR(__xludf.DUMMYFUNCTION("IMPORTRANGE(""https://docs.google.com/spreadsheets/d/1SX6NBoVAgQJ6U1MVXOaj8PK2l7WJ3RER9xtqwdhxkhw/edit?usp=sharing"",""ปทุมธานี!J9"")"),0.0)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IFERROR(__xludf.DUMMYFUNCTION("IMPORTRANGE(""https://docs.google.com/spreadsheets/d/1SX6NBoVAgQJ6U1MVXOaj8PK2l7WJ3RER9xtqwdhxkhw/edit?usp=sharing"",""ปทุมธานี!I10"")"),0.0)</f>
        <v>0</v>
      </c>
      <c r="J65" s="172">
        <f>IFERROR(__xludf.DUMMYFUNCTION("IMPORTRANGE(""https://docs.google.com/spreadsheets/d/1SX6NBoVAgQJ6U1MVXOaj8PK2l7WJ3RER9xtqwdhxkhw/edit?usp=sharing"",""ปทุมธานี!J10"")"),0.0)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IFERROR(__xludf.DUMMYFUNCTION("IMPORTRANGE(""https://docs.google.com/spreadsheets/d/1Yj_ptqi66GCucihVvJfMjLAmec39IyEx_6qawtMGysU/edit?usp=sharing"",""สบก!AI67"")"),0.0)</f>
        <v>0</v>
      </c>
      <c r="N70" s="203">
        <f>IFERROR(__xludf.DUMMYFUNCTION("IMPORTRANGE(""https://docs.google.com/spreadsheets/d/1Yj_ptqi66GCucihVvJfMjLAmec39IyEx_6qawtMGysU/edit?usp=sharing"",""สบก!AJ67"")"),0.0)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IFERROR(__xludf.DUMMYFUNCTION("IMPORTRANGE(""https://docs.google.com/spreadsheets/d/1Yj_ptqi66GCucihVvJfMjLAmec39IyEx_6qawtMGysU/edit?usp=sharing"",""สบก!AE67"")"),0.0)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IFERROR(__xludf.DUMMYFUNCTION("IMPORTRANGE(""https://docs.google.com/spreadsheets/d/1Yj_ptqi66GCucihVvJfMjLAmec39IyEx_6qawtMGysU/edit?usp=sharing"",""สบก!AF67"")"),0.0)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IFERROR(__xludf.DUMMYFUNCTION("IMPORTRANGE(""https://docs.google.com/spreadsheets/d/1Yj_ptqi66GCucihVvJfMjLAmec39IyEx_6qawtMGysU/edit?usp=sharing"",""สบก!AG67"")"),0.0)</f>
        <v>0</v>
      </c>
      <c r="M74" s="70"/>
      <c r="N74" s="70">
        <f>IFERROR(__xludf.DUMMYFUNCTION("IMPORTRANGE(""https://docs.google.com/spreadsheets/d/1Yj_ptqi66GCucihVvJfMjLAmec39IyEx_6qawtMGysU/edit?usp=sharing"",""สบก!AK67"")"),0.0)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IFERROR(__xludf.DUMMYFUNCTION("IMPORTRANGE(""https://docs.google.com/spreadsheets/d/1SX6NBoVAgQJ6U1MVXOaj8PK2l7WJ3RER9xtqwdhxkhw/edit?usp=sharing"",""ปทุมธานี!J16"")"),0.0)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IFERROR(__xludf.DUMMYFUNCTION("IMPORTRANGE(""https://docs.google.com/spreadsheets/d/1SX6NBoVAgQJ6U1MVXOaj8PK2l7WJ3RER9xtqwdhxkhw/edit?usp=sharing"",""ปทุมธานี!J17"")"),0.0)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IFERROR(__xludf.DUMMYFUNCTION("IMPORTRANGE(""https://docs.google.com/spreadsheets/d/1SX6NBoVAgQJ6U1MVXOaj8PK2l7WJ3RER9xtqwdhxkhw/edit?usp=sharing"",""ปทุมธานี!J18"")"),0.0)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IFERROR(__xludf.DUMMYFUNCTION("IMPORTRANGE(""https://docs.google.com/spreadsheets/d/1SX6NBoVAgQJ6U1MVXOaj8PK2l7WJ3RER9xtqwdhxkhw/edit?usp=sharing"",""ปทุมธานี!J19"")"),0.0)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IFERROR(__xludf.DUMMYFUNCTION("IMPORTRANGE(""https://docs.google.com/spreadsheets/d/1SX6NBoVAgQJ6U1MVXOaj8PK2l7WJ3RER9xtqwdhxkhw/edit?usp=sharing"",""ปทุมธานี!I20"")"),0.0)</f>
        <v>0</v>
      </c>
      <c r="J80" s="235">
        <f>IFERROR(__xludf.DUMMYFUNCTION("IMPORTRANGE(""https://docs.google.com/spreadsheets/d/1SX6NBoVAgQJ6U1MVXOaj8PK2l7WJ3RER9xtqwdhxkhw/edit?usp=sharing"",""ปทุมธานี!J20"")"),0.0)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IFERROR(__xludf.DUMMYFUNCTION("IMPORTRANGE(""https://docs.google.com/spreadsheets/d/1SX6NBoVAgQJ6U1MVXOaj8PK2l7WJ3RER9xtqwdhxkhw/edit?usp=sharing"",""ปทุมธานี!I21"")"),0.0)</f>
        <v>0</v>
      </c>
      <c r="J81" s="235">
        <f>IFERROR(__xludf.DUMMYFUNCTION("IMPORTRANGE(""https://docs.google.com/spreadsheets/d/1SX6NBoVAgQJ6U1MVXOaj8PK2l7WJ3RER9xtqwdhxkhw/edit?usp=sharing"",""ปทุมธานี!J21"")"),0.0)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IFERROR(__xludf.DUMMYFUNCTION("IMPORTRANGE(""https://docs.google.com/spreadsheets/d/1SX6NBoVAgQJ6U1MVXOaj8PK2l7WJ3RER9xtqwdhxkhw/edit?usp=sharing"",""ปทุมธานี!I22"")"),0.0)</f>
        <v>0</v>
      </c>
      <c r="J82" s="238">
        <f>IFERROR(__xludf.DUMMYFUNCTION("IMPORTRANGE(""https://docs.google.com/spreadsheets/d/1SX6NBoVAgQJ6U1MVXOaj8PK2l7WJ3RER9xtqwdhxkhw/edit?usp=sharing"",""ปทุมธานี!J22"")"),0.0)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IFERROR(__xludf.DUMMYFUNCTION("IMPORTRANGE(""https://docs.google.com/spreadsheets/d/1SX6NBoVAgQJ6U1MVXOaj8PK2l7WJ3RER9xtqwdhxkhw/edit?usp=sharing"",""ปทุมธานี!I23"")"),0.0)</f>
        <v>0</v>
      </c>
      <c r="J83" s="238">
        <f>IFERROR(__xludf.DUMMYFUNCTION("IMPORTRANGE(""https://docs.google.com/spreadsheets/d/1SX6NBoVAgQJ6U1MVXOaj8PK2l7WJ3RER9xtqwdhxkhw/edit?usp=sharing"",""ปทุมธานี!J23"")"),0.0)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IFERROR(__xludf.DUMMYFUNCTION("IMPORTRANGE(""https://docs.google.com/spreadsheets/d/1SX6NBoVAgQJ6U1MVXOaj8PK2l7WJ3RER9xtqwdhxkhw/edit?usp=sharing"",""ปทุมธานี!I24"")"),0.0)</f>
        <v>0</v>
      </c>
      <c r="J84" s="223">
        <f>IFERROR(__xludf.DUMMYFUNCTION("IMPORTRANGE(""https://docs.google.com/spreadsheets/d/1SX6NBoVAgQJ6U1MVXOaj8PK2l7WJ3RER9xtqwdhxkhw/edit?usp=sharing"",""ปทุมธานี!J24"")"),0.0)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IFERROR(__xludf.DUMMYFUNCTION("IMPORTRANGE(""https://docs.google.com/spreadsheets/d/1SX6NBoVAgQJ6U1MVXOaj8PK2l7WJ3RER9xtqwdhxkhw/edit?usp=sharing"",""ปทุมธานี!I25"")"),0.0)</f>
        <v>0</v>
      </c>
      <c r="J85" s="223">
        <f>IFERROR(__xludf.DUMMYFUNCTION("IMPORTRANGE(""https://docs.google.com/spreadsheets/d/1SX6NBoVAgQJ6U1MVXOaj8PK2l7WJ3RER9xtqwdhxkhw/edit?usp=sharing"",""ปทุมธานี!J25"")"),0.0)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IFERROR(__xludf.DUMMYFUNCTION("IMPORTRANGE(""https://docs.google.com/spreadsheets/d/1SX6NBoVAgQJ6U1MVXOaj8PK2l7WJ3RER9xtqwdhxkhw/edit?usp=sharing"",""ปทุมธานี!I26"")"),0.0)</f>
        <v>0</v>
      </c>
      <c r="J86" s="238">
        <f>IFERROR(__xludf.DUMMYFUNCTION("IMPORTRANGE(""https://docs.google.com/spreadsheets/d/1SX6NBoVAgQJ6U1MVXOaj8PK2l7WJ3RER9xtqwdhxkhw/edit?usp=sharing"",""ปทุมธานี!J26"")"),0.0)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IFERROR(__xludf.DUMMYFUNCTION("IMPORTRANGE(""https://docs.google.com/spreadsheets/d/1SX6NBoVAgQJ6U1MVXOaj8PK2l7WJ3RER9xtqwdhxkhw/edit?usp=sharing"",""ปทุมธานี!I27"")"),0.0)</f>
        <v>0</v>
      </c>
      <c r="J87" s="238">
        <f>IFERROR(__xludf.DUMMYFUNCTION("IMPORTRANGE(""https://docs.google.com/spreadsheets/d/1SX6NBoVAgQJ6U1MVXOaj8PK2l7WJ3RER9xtqwdhxkhw/edit?usp=sharing"",""ปทุมธานี!J27"")"),0.0)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IFERROR(__xludf.DUMMYFUNCTION("IMPORTRANGE(""https://docs.google.com/spreadsheets/d/1SX6NBoVAgQJ6U1MVXOaj8PK2l7WJ3RER9xtqwdhxkhw/edit?usp=sharing"",""ปทุมธานี!I28"")"),0.0)</f>
        <v>0</v>
      </c>
      <c r="J88" s="238">
        <f>IFERROR(__xludf.DUMMYFUNCTION("IMPORTRANGE(""https://docs.google.com/spreadsheets/d/1SX6NBoVAgQJ6U1MVXOaj8PK2l7WJ3RER9xtqwdhxkhw/edit?usp=sharing"",""ปทุมธานี!J28"")"),0.0)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IFERROR(__xludf.DUMMYFUNCTION("IMPORTRANGE(""https://docs.google.com/spreadsheets/d/1SX6NBoVAgQJ6U1MVXOaj8PK2l7WJ3RER9xtqwdhxkhw/edit?usp=sharing"",""ปทุมธานี!J29"")"),0.0)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IFERROR(__xludf.DUMMYFUNCTION("IMPORTRANGE(""https://docs.google.com/spreadsheets/d/1SX6NBoVAgQJ6U1MVXOaj8PK2l7WJ3RER9xtqwdhxkhw/edit?usp=sharing"",""ปทุมธานี!J30"")"),0.0)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IFERROR(__xludf.DUMMYFUNCTION("IMPORTRANGE(""https://docs.google.com/spreadsheets/d/1SX6NBoVAgQJ6U1MVXOaj8PK2l7WJ3RER9xtqwdhxkhw/edit?usp=sharing"",""ปทุมธานี!I32"")"),0.0)</f>
        <v>0</v>
      </c>
      <c r="J92" s="172">
        <f>IFERROR(__xludf.DUMMYFUNCTION("IMPORTRANGE(""https://docs.google.com/spreadsheets/d/1SX6NBoVAgQJ6U1MVXOaj8PK2l7WJ3RER9xtqwdhxkhw/edit?usp=sharing"",""ปทุมธานี!J32"")"),0.0)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IFERROR(__xludf.DUMMYFUNCTION("IMPORTRANGE(""https://docs.google.com/spreadsheets/d/1SX6NBoVAgQJ6U1MVXOaj8PK2l7WJ3RER9xtqwdhxkhw/edit?usp=sharing"",""ปทุมธานี!I33"")"),0.0)</f>
        <v>0</v>
      </c>
      <c r="J93" s="172">
        <f>IFERROR(__xludf.DUMMYFUNCTION("IMPORTRANGE(""https://docs.google.com/spreadsheets/d/1SX6NBoVAgQJ6U1MVXOaj8PK2l7WJ3RER9xtqwdhxkhw/edit?usp=sharing"",""ปทุมธานี!J33"")"),0.0)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IFERROR(__xludf.DUMMYFUNCTION("IMPORTRANGE(""https://docs.google.com/spreadsheets/d/1Yj_ptqi66GCucihVvJfMjLAmec39IyEx_6qawtMGysU/edit?usp=sharing"",""สบก!AR67"")"),0.0)</f>
        <v>0</v>
      </c>
      <c r="N98" s="203">
        <f>IFERROR(__xludf.DUMMYFUNCTION("IMPORTRANGE(""https://docs.google.com/spreadsheets/d/1Yj_ptqi66GCucihVvJfMjLAmec39IyEx_6qawtMGysU/edit?usp=sharing"",""สบก!AS67"")"),0.0)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IFERROR(__xludf.DUMMYFUNCTION("IMPORTRANGE(""https://docs.google.com/spreadsheets/d/1Yj_ptqi66GCucihVvJfMjLAmec39IyEx_6qawtMGysU/edit?usp=sharing"",""สบก!AN67"")"),0.0)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IFERROR(__xludf.DUMMYFUNCTION("IMPORTRANGE(""https://docs.google.com/spreadsheets/d/1Yj_ptqi66GCucihVvJfMjLAmec39IyEx_6qawtMGysU/edit?usp=sharing"",""สบก!AO67"")"),0.0)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IFERROR(__xludf.DUMMYFUNCTION("IMPORTRANGE(""https://docs.google.com/spreadsheets/d/1Yj_ptqi66GCucihVvJfMjLAmec39IyEx_6qawtMGysU/edit?usp=sharing"",""สบก!AP67"")"),0.0)</f>
        <v>0</v>
      </c>
      <c r="M102" s="70"/>
      <c r="N102" s="70">
        <f>IFERROR(__xludf.DUMMYFUNCTION("IMPORTRANGE(""https://docs.google.com/spreadsheets/d/1Yj_ptqi66GCucihVvJfMjLAmec39IyEx_6qawtMGysU/edit?usp=sharing"",""สบก!AT67"")"),0.0)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IFERROR(__xludf.DUMMYFUNCTION("IMPORTRANGE(""https://docs.google.com/spreadsheets/d/1SX6NBoVAgQJ6U1MVXOaj8PK2l7WJ3RER9xtqwdhxkhw/edit?usp=sharing"",""ปทุมธานี!J39"")"),0.0)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IFERROR(__xludf.DUMMYFUNCTION("IMPORTRANGE(""https://docs.google.com/spreadsheets/d/1SX6NBoVAgQJ6U1MVXOaj8PK2l7WJ3RER9xtqwdhxkhw/edit?usp=sharing"",""ปทุมธานี!J40"")"),0.0)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IFERROR(__xludf.DUMMYFUNCTION("IMPORTRANGE(""https://docs.google.com/spreadsheets/d/1SX6NBoVAgQJ6U1MVXOaj8PK2l7WJ3RER9xtqwdhxkhw/edit?usp=sharing"",""ปทุมธานี!J41"")"),0.0)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IFERROR(__xludf.DUMMYFUNCTION("IMPORTRANGE(""https://docs.google.com/spreadsheets/d/1SX6NBoVAgQJ6U1MVXOaj8PK2l7WJ3RER9xtqwdhxkhw/edit?usp=sharing"",""ปทุมธานี!J42"")"),0.0)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IFERROR(__xludf.DUMMYFUNCTION("IMPORTRANGE(""https://docs.google.com/spreadsheets/d/1SX6NBoVAgQJ6U1MVXOaj8PK2l7WJ3RER9xtqwdhxkhw/edit?usp=sharing"",""ปทุมธานี!I43"")"),0.0)</f>
        <v>0</v>
      </c>
      <c r="J108" s="238">
        <f>IFERROR(__xludf.DUMMYFUNCTION("IMPORTRANGE(""https://docs.google.com/spreadsheets/d/1SX6NBoVAgQJ6U1MVXOaj8PK2l7WJ3RER9xtqwdhxkhw/edit?usp=sharing"",""ปทุมธานี!J43"")"),0.0)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IFERROR(__xludf.DUMMYFUNCTION("IMPORTRANGE(""https://docs.google.com/spreadsheets/d/1SX6NBoVAgQJ6U1MVXOaj8PK2l7WJ3RER9xtqwdhxkhw/edit?usp=sharing"",""ปทุมธานี!I44"")"),0.0)</f>
        <v>0</v>
      </c>
      <c r="J109" s="238">
        <f>IFERROR(__xludf.DUMMYFUNCTION("IMPORTRANGE(""https://docs.google.com/spreadsheets/d/1SX6NBoVAgQJ6U1MVXOaj8PK2l7WJ3RER9xtqwdhxkhw/edit?usp=sharing"",""ปทุมธานี!J44"")"),0.0)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IFERROR(__xludf.DUMMYFUNCTION("IMPORTRANGE(""https://docs.google.com/spreadsheets/d/1SX6NBoVAgQJ6U1MVXOaj8PK2l7WJ3RER9xtqwdhxkhw/edit?usp=sharing"",""ปทุมธานี!I45"")"),0.0)</f>
        <v>0</v>
      </c>
      <c r="J110" s="238">
        <f>IFERROR(__xludf.DUMMYFUNCTION("IMPORTRANGE(""https://docs.google.com/spreadsheets/d/1SX6NBoVAgQJ6U1MVXOaj8PK2l7WJ3RER9xtqwdhxkhw/edit?usp=sharing"",""ปทุมธานี!J45"")"),0.0)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IFERROR(__xludf.DUMMYFUNCTION("IMPORTRANGE(""https://docs.google.com/spreadsheets/d/1SX6NBoVAgQJ6U1MVXOaj8PK2l7WJ3RER9xtqwdhxkhw/edit?usp=sharing"",""ปทุมธานี!I46"")"),0.0)</f>
        <v>0</v>
      </c>
      <c r="J111" s="238">
        <f>IFERROR(__xludf.DUMMYFUNCTION("IMPORTRANGE(""https://docs.google.com/spreadsheets/d/1SX6NBoVAgQJ6U1MVXOaj8PK2l7WJ3RER9xtqwdhxkhw/edit?usp=sharing"",""ปทุมธานี!J46"")"),0.0)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IFERROR(__xludf.DUMMYFUNCTION("IMPORTRANGE(""https://docs.google.com/spreadsheets/d/1SX6NBoVAgQJ6U1MVXOaj8PK2l7WJ3RER9xtqwdhxkhw/edit?usp=sharing"",""ปทุมธานี!I47"")"),0.0)</f>
        <v>0</v>
      </c>
      <c r="J112" s="238">
        <f>IFERROR(__xludf.DUMMYFUNCTION("IMPORTRANGE(""https://docs.google.com/spreadsheets/d/1SX6NBoVAgQJ6U1MVXOaj8PK2l7WJ3RER9xtqwdhxkhw/edit?usp=sharing"",""ปทุมธานี!J47"")"),0.0)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IFERROR(__xludf.DUMMYFUNCTION("IMPORTRANGE(""https://docs.google.com/spreadsheets/d/1SX6NBoVAgQJ6U1MVXOaj8PK2l7WJ3RER9xtqwdhxkhw/edit?usp=sharing"",""ปทุมธานี!I48"")"),0.0)</f>
        <v>0</v>
      </c>
      <c r="J113" s="238">
        <f>IFERROR(__xludf.DUMMYFUNCTION("IMPORTRANGE(""https://docs.google.com/spreadsheets/d/1SX6NBoVAgQJ6U1MVXOaj8PK2l7WJ3RER9xtqwdhxkhw/edit?usp=sharing"",""ปทุมธานี!J48"")"),0.0)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IFERROR(__xludf.DUMMYFUNCTION("IMPORTRANGE(""https://docs.google.com/spreadsheets/d/1SX6NBoVAgQJ6U1MVXOaj8PK2l7WJ3RER9xtqwdhxkhw/edit?usp=sharing"",""ปทุมธานี!J49"")"),0.0)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IFERROR(__xludf.DUMMYFUNCTION("IMPORTRANGE(""https://docs.google.com/spreadsheets/d/1SX6NBoVAgQJ6U1MVXOaj8PK2l7WJ3RER9xtqwdhxkhw/edit?usp=sharing"",""ปทุมธานี!J50"")"),0.0)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IFERROR(__xludf.DUMMYFUNCTION("IMPORTRANGE(""https://docs.google.com/spreadsheets/d/1SX6NBoVAgQJ6U1MVXOaj8PK2l7WJ3RER9xtqwdhxkhw/edit?usp=sharing"",""ปทุมธานี!I52"")"),0.0)</f>
        <v>0</v>
      </c>
      <c r="J117" s="172">
        <f>IFERROR(__xludf.DUMMYFUNCTION("IMPORTRANGE(""https://docs.google.com/spreadsheets/d/1SX6NBoVAgQJ6U1MVXOaj8PK2l7WJ3RER9xtqwdhxkhw/edit?usp=sharing"",""ปทุมธานี!J52"")"),0.0)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IFERROR(__xludf.DUMMYFUNCTION("IMPORTRANGE(""https://docs.google.com/spreadsheets/d/1Yj_ptqi66GCucihVvJfMjLAmec39IyEx_6qawtMGysU/edit?usp=sharing"",""สบก!BA67"")"),0.0)</f>
        <v>0</v>
      </c>
      <c r="N122" s="203">
        <f>IFERROR(__xludf.DUMMYFUNCTION("IMPORTRANGE(""https://docs.google.com/spreadsheets/d/1Yj_ptqi66GCucihVvJfMjLAmec39IyEx_6qawtMGysU/edit?usp=sharing"",""สบก!BB67"")"),0.0)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IFERROR(__xludf.DUMMYFUNCTION("IMPORTRANGE(""https://docs.google.com/spreadsheets/d/1Yj_ptqi66GCucihVvJfMjLAmec39IyEx_6qawtMGysU/edit?usp=sharing"",""สบก!AW67"")"),0.0)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IFERROR(__xludf.DUMMYFUNCTION("IMPORTRANGE(""https://docs.google.com/spreadsheets/d/1Yj_ptqi66GCucihVvJfMjLAmec39IyEx_6qawtMGysU/edit?usp=sharing"",""สบก!AX67"")"),0.0)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IFERROR(__xludf.DUMMYFUNCTION("IMPORTRANGE(""https://docs.google.com/spreadsheets/d/1Yj_ptqi66GCucihVvJfMjLAmec39IyEx_6qawtMGysU/edit?usp=sharing"",""สบก!AY67"")"),0.0)</f>
        <v>0</v>
      </c>
      <c r="M126" s="70"/>
      <c r="N126" s="70">
        <f>IFERROR(__xludf.DUMMYFUNCTION("IMPORTRANGE(""https://docs.google.com/spreadsheets/d/1Yj_ptqi66GCucihVvJfMjLAmec39IyEx_6qawtMGysU/edit?usp=sharing"",""สบก!BC67"")"),0.0)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256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IFERROR(__xludf.DUMMYFUNCTION("IMPORTRANGE(""https://docs.google.com/spreadsheets/d/1SX6NBoVAgQJ6U1MVXOaj8PK2l7WJ3RER9xtqwdhxkhw/edit?usp=sharing"",""ปทุมธานี!J58"")"),0.0)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IFERROR(__xludf.DUMMYFUNCTION("IMPORTRANGE(""https://docs.google.com/spreadsheets/d/1SX6NBoVAgQJ6U1MVXOaj8PK2l7WJ3RER9xtqwdhxkhw/edit?usp=sharing"",""ปทุมธานี!J59"")"),0.0)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IFERROR(__xludf.DUMMYFUNCTION("IMPORTRANGE(""https://docs.google.com/spreadsheets/d/1SX6NBoVAgQJ6U1MVXOaj8PK2l7WJ3RER9xtqwdhxkhw/edit?usp=sharing"",""ปทุมธานี!J60"")"),0.0)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IFERROR(__xludf.DUMMYFUNCTION("IMPORTRANGE(""https://docs.google.com/spreadsheets/d/1SX6NBoVAgQJ6U1MVXOaj8PK2l7WJ3RER9xtqwdhxkhw/edit?usp=sharing"",""ปทุมธานี!J61"")"),0.0)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IFERROR(__xludf.DUMMYFUNCTION("IMPORTRANGE(""https://docs.google.com/spreadsheets/d/1SX6NBoVAgQJ6U1MVXOaj8PK2l7WJ3RER9xtqwdhxkhw/edit?usp=sharing"",""ปทุมธานี!I62"")"),0.0)</f>
        <v>0</v>
      </c>
      <c r="J132" s="238">
        <f>IFERROR(__xludf.DUMMYFUNCTION("IMPORTRANGE(""https://docs.google.com/spreadsheets/d/1SX6NBoVAgQJ6U1MVXOaj8PK2l7WJ3RER9xtqwdhxkhw/edit?usp=sharing"",""ปทุมธานี!J62"")"),0.0)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IFERROR(__xludf.DUMMYFUNCTION("IMPORTRANGE(""https://docs.google.com/spreadsheets/d/1SX6NBoVAgQJ6U1MVXOaj8PK2l7WJ3RER9xtqwdhxkhw/edit?usp=sharing"",""ปทุมธานี!I63"")"),0.0)</f>
        <v>0</v>
      </c>
      <c r="J133" s="238">
        <f>IFERROR(__xludf.DUMMYFUNCTION("IMPORTRANGE(""https://docs.google.com/spreadsheets/d/1SX6NBoVAgQJ6U1MVXOaj8PK2l7WJ3RER9xtqwdhxkhw/edit?usp=sharing"",""ปทุมธานี!J63"")"),0.0)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IFERROR(__xludf.DUMMYFUNCTION("IMPORTRANGE(""https://docs.google.com/spreadsheets/d/1SX6NBoVAgQJ6U1MVXOaj8PK2l7WJ3RER9xtqwdhxkhw/edit?usp=sharing"",""ปทุมธานี!J64"")"),0.0)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IFERROR(__xludf.DUMMYFUNCTION("IMPORTRANGE(""https://docs.google.com/spreadsheets/d/1SX6NBoVAgQJ6U1MVXOaj8PK2l7WJ3RER9xtqwdhxkhw/edit?usp=sharing"",""ปทุมธานี!J65"")"),0.0)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IFERROR(__xludf.DUMMYFUNCTION("IMPORTRANGE(""https://docs.google.com/spreadsheets/d/1SX6NBoVAgQJ6U1MVXOaj8PK2l7WJ3RER9xtqwdhxkhw/edit?usp=sharing"",""ปทุมธานี!I68"")"),30.0)</f>
        <v>30</v>
      </c>
      <c r="J138" s="301">
        <f>IFERROR(__xludf.DUMMYFUNCTION("IMPORTRANGE(""https://docs.google.com/spreadsheets/d/1SX6NBoVAgQJ6U1MVXOaj8PK2l7WJ3RER9xtqwdhxkhw/edit?usp=sharing"",""ปทุมธานี!J68"")"),30.0)</f>
        <v>30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668300</v>
      </c>
      <c r="M140" s="183">
        <f t="shared" si="65"/>
        <v>354450</v>
      </c>
      <c r="N140" s="183">
        <f t="shared" si="65"/>
        <v>199834</v>
      </c>
      <c r="O140" s="182">
        <f t="shared" ref="O140:O142" si="67">IF(L140&gt;0,N140*100/L140,0)</f>
        <v>29.90184049</v>
      </c>
      <c r="P140" s="182">
        <f t="shared" ref="P140:P142" si="68">IF(M140&gt;0,N140*100/M140,0)</f>
        <v>56.37861476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668300</v>
      </c>
      <c r="M142" s="188">
        <f t="shared" si="69"/>
        <v>354450</v>
      </c>
      <c r="N142" s="188">
        <f t="shared" si="69"/>
        <v>199834</v>
      </c>
      <c r="O142" s="187">
        <f t="shared" si="67"/>
        <v>29.90184049</v>
      </c>
      <c r="P142" s="187">
        <f t="shared" si="68"/>
        <v>56.37861476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668300</v>
      </c>
      <c r="M144" s="200">
        <f>IFERROR(__xludf.DUMMYFUNCTION("IMPORTRANGE(""https://docs.google.com/spreadsheets/d/1Yj_ptqi66GCucihVvJfMjLAmec39IyEx_6qawtMGysU/edit?usp=sharing"",""สบก!BJ67"")"),354450.0)</f>
        <v>354450</v>
      </c>
      <c r="N144" s="203">
        <f>IFERROR(__xludf.DUMMYFUNCTION("IMPORTRANGE(""https://docs.google.com/spreadsheets/d/1Yj_ptqi66GCucihVvJfMjLAmec39IyEx_6qawtMGysU/edit?usp=sharing"",""สบก!BK67"")"),199834.0)</f>
        <v>199834</v>
      </c>
      <c r="O144" s="203">
        <f>IF(L144&gt;0,N144*100/L144,0)</f>
        <v>29.90184049</v>
      </c>
      <c r="P144" s="203">
        <f>IF(M144&gt;0,N144*100/M144,0)</f>
        <v>56.37861476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IFERROR(__xludf.DUMMYFUNCTION("IMPORTRANGE(""https://docs.google.com/spreadsheets/d/1Yj_ptqi66GCucihVvJfMjLAmec39IyEx_6qawtMGysU/edit?usp=sharing"",""สบก!BF67"")"),448300.0)</f>
        <v>448300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IFERROR(__xludf.DUMMYFUNCTION("IMPORTRANGE(""https://docs.google.com/spreadsheets/d/1Yj_ptqi66GCucihVvJfMjLAmec39IyEx_6qawtMGysU/edit?usp=sharing"",""สบก!BG67"")"),220000.0)</f>
        <v>220000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IFERROR(__xludf.DUMMYFUNCTION("IMPORTRANGE(""https://docs.google.com/spreadsheets/d/1Yj_ptqi66GCucihVvJfMjLAmec39IyEx_6qawtMGysU/edit?usp=sharing"",""สบก!BH67"")"),0.0)</f>
        <v>0</v>
      </c>
      <c r="M148" s="70"/>
      <c r="N148" s="70">
        <f>IFERROR(__xludf.DUMMYFUNCTION("IMPORTRANGE(""https://docs.google.com/spreadsheets/d/1Yj_ptqi66GCucihVvJfMjLAmec39IyEx_6qawtMGysU/edit?usp=sharing"",""สบก!BL67"")"),0.0)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IFERROR(__xludf.DUMMYFUNCTION("IMPORTRANGE(""https://docs.google.com/spreadsheets/d/1SX6NBoVAgQJ6U1MVXOaj8PK2l7WJ3RER9xtqwdhxkhw/edit?usp=sharing"",""ปทุมธานี!I74"")"),4.0)</f>
        <v>4</v>
      </c>
      <c r="J149" s="309">
        <f>IFERROR(__xludf.DUMMYFUNCTION("IMPORTRANGE(""https://docs.google.com/spreadsheets/d/1SX6NBoVAgQJ6U1MVXOaj8PK2l7WJ3RER9xtqwdhxkhw/edit?usp=sharing"",""ปทุมธานี!J74"")"),1.0)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IFERROR(__xludf.DUMMYFUNCTION("IMPORTRANGE(""https://docs.google.com/spreadsheets/d/1SX6NBoVAgQJ6U1MVXOaj8PK2l7WJ3RER9xtqwdhxkhw/edit?usp=sharing"",""ปทุมธานี!J79"")"),0.0)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IFERROR(__xludf.DUMMYFUNCTION("IMPORTRANGE(""https://docs.google.com/spreadsheets/d/1SX6NBoVAgQJ6U1MVXOaj8PK2l7WJ3RER9xtqwdhxkhw/edit?usp=sharing"",""ปทุมธานี!J80"")"),1.0)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IFERROR(__xludf.DUMMYFUNCTION("IMPORTRANGE(""https://docs.google.com/spreadsheets/d/1SX6NBoVAgQJ6U1MVXOaj8PK2l7WJ3RER9xtqwdhxkhw/edit?usp=sharing"",""ปทุมธานี!J81"")"),1.0)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IFERROR(__xludf.DUMMYFUNCTION("IMPORTRANGE(""https://docs.google.com/spreadsheets/d/1SX6NBoVAgQJ6U1MVXOaj8PK2l7WJ3RER9xtqwdhxkhw/edit?usp=sharing"",""ปทุมธานี!J82"")"),1.0)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IFERROR(__xludf.DUMMYFUNCTION("IMPORTRANGE(""https://docs.google.com/spreadsheets/d/1SX6NBoVAgQJ6U1MVXOaj8PK2l7WJ3RER9xtqwdhxkhw/edit?usp=sharing"",""ปทุมธานี!I83"")"),4.0)</f>
        <v>4</v>
      </c>
      <c r="J158" s="223">
        <f>IFERROR(__xludf.DUMMYFUNCTION("IMPORTRANGE(""https://docs.google.com/spreadsheets/d/1SX6NBoVAgQJ6U1MVXOaj8PK2l7WJ3RER9xtqwdhxkhw/edit?usp=sharing"",""ปทุมธานี!J83"")"),1.0)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IFERROR(__xludf.DUMMYFUNCTION("IMPORTRANGE(""https://docs.google.com/spreadsheets/d/1SX6NBoVAgQJ6U1MVXOaj8PK2l7WJ3RER9xtqwdhxkhw/edit?usp=sharing"",""ปทุมธานี!J84"")"),41.0)</f>
        <v>41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IFERROR(__xludf.DUMMYFUNCTION("IMPORTRANGE(""https://docs.google.com/spreadsheets/d/1SX6NBoVAgQJ6U1MVXOaj8PK2l7WJ3RER9xtqwdhxkhw/edit?usp=sharing"",""ปทุมธานี!J85"")"),41.0)</f>
        <v>41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IFERROR(__xludf.DUMMYFUNCTION("IMPORTRANGE(""https://docs.google.com/spreadsheets/d/1SX6NBoVAgQJ6U1MVXOaj8PK2l7WJ3RER9xtqwdhxkhw/edit?usp=sharing"",""ปทุมธานี!J86"")"),0.0)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IFERROR(__xludf.DUMMYFUNCTION("IMPORTRANGE(""https://docs.google.com/spreadsheets/d/1SX6NBoVAgQJ6U1MVXOaj8PK2l7WJ3RER9xtqwdhxkhw/edit?usp=sharing"",""ปทุมธานี!J87"")"),0.0)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IFERROR(__xludf.DUMMYFUNCTION("IMPORTRANGE(""https://docs.google.com/spreadsheets/d/1SX6NBoVAgQJ6U1MVXOaj8PK2l7WJ3RER9xtqwdhxkhw/edit?usp=sharing"",""ปทุมธานี!J88"")"),0.0)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IFERROR(__xludf.DUMMYFUNCTION("IMPORTRANGE(""https://docs.google.com/spreadsheets/d/1SX6NBoVAgQJ6U1MVXOaj8PK2l7WJ3RER9xtqwdhxkhw/edit?usp=sharing"",""ปทุมธานี!I89"")"),1.0)</f>
        <v>1</v>
      </c>
      <c r="J164" s="317">
        <f>IFERROR(__xludf.DUMMYFUNCTION("IMPORTRANGE(""https://docs.google.com/spreadsheets/d/1SX6NBoVAgQJ6U1MVXOaj8PK2l7WJ3RER9xtqwdhxkhw/edit?usp=sharing"",""ปทุมธานี!J89"")"),0.0)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IFERROR(__xludf.DUMMYFUNCTION("IMPORTRANGE(""https://docs.google.com/spreadsheets/d/1SX6NBoVAgQJ6U1MVXOaj8PK2l7WJ3RER9xtqwdhxkhw/edit?usp=sharing"",""ปทุมธานี!J94"")"),0.0)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IFERROR(__xludf.DUMMYFUNCTION("IMPORTRANGE(""https://docs.google.com/spreadsheets/d/1SX6NBoVAgQJ6U1MVXOaj8PK2l7WJ3RER9xtqwdhxkhw/edit?usp=sharing"",""ปทุมธานี!J95"")"),1.0)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IFERROR(__xludf.DUMMYFUNCTION("IMPORTRANGE(""https://docs.google.com/spreadsheets/d/1SX6NBoVAgQJ6U1MVXOaj8PK2l7WJ3RER9xtqwdhxkhw/edit?usp=sharing"",""ปทุมธานี!J96"")"),1.0)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IFERROR(__xludf.DUMMYFUNCTION("IMPORTRANGE(""https://docs.google.com/spreadsheets/d/1SX6NBoVAgQJ6U1MVXOaj8PK2l7WJ3RER9xtqwdhxkhw/edit?usp=sharing"",""ปทุมธานี!J97"")"),0.0)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IFERROR(__xludf.DUMMYFUNCTION("IMPORTRANGE(""https://docs.google.com/spreadsheets/d/1SX6NBoVAgQJ6U1MVXOaj8PK2l7WJ3RER9xtqwdhxkhw/edit?usp=sharing"",""ปทุมธานี!I98"")"),1.0)</f>
        <v>1</v>
      </c>
      <c r="J173" s="223">
        <f>IFERROR(__xludf.DUMMYFUNCTION("IMPORTRANGE(""https://docs.google.com/spreadsheets/d/1SX6NBoVAgQJ6U1MVXOaj8PK2l7WJ3RER9xtqwdhxkhw/edit?usp=sharing"",""ปทุมธานี!J98"")"),0.0)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IFERROR(__xludf.DUMMYFUNCTION("IMPORTRANGE(""https://docs.google.com/spreadsheets/d/1SX6NBoVAgQJ6U1MVXOaj8PK2l7WJ3RER9xtqwdhxkhw/edit?usp=sharing"",""ปทุมธานี!J99"")"),0.0)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IFERROR(__xludf.DUMMYFUNCTION("IMPORTRANGE(""https://docs.google.com/spreadsheets/d/1SX6NBoVAgQJ6U1MVXOaj8PK2l7WJ3RER9xtqwdhxkhw/edit?usp=sharing"",""ปทุมธานี!J100"")"),0.0)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IFERROR(__xludf.DUMMYFUNCTION("IMPORTRANGE(""https://docs.google.com/spreadsheets/d/1SX6NBoVAgQJ6U1MVXOaj8PK2l7WJ3RER9xtqwdhxkhw/edit?usp=sharing"",""ปทุมธานี!I101"")"),0.0)</f>
        <v>0</v>
      </c>
      <c r="J176" s="317">
        <f>IFERROR(__xludf.DUMMYFUNCTION("IMPORTRANGE(""https://docs.google.com/spreadsheets/d/1SX6NBoVAgQJ6U1MVXOaj8PK2l7WJ3RER9xtqwdhxkhw/edit?usp=sharing"",""ปทุมธานี!J101"")"),0.0)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IFERROR(__xludf.DUMMYFUNCTION("IMPORTRANGE(""https://docs.google.com/spreadsheets/d/1SX6NBoVAgQJ6U1MVXOaj8PK2l7WJ3RER9xtqwdhxkhw/edit?usp=sharing"",""ปทุมธานี!J106"")"),0.0)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IFERROR(__xludf.DUMMYFUNCTION("IMPORTRANGE(""https://docs.google.com/spreadsheets/d/1SX6NBoVAgQJ6U1MVXOaj8PK2l7WJ3RER9xtqwdhxkhw/edit?usp=sharing"",""ปทุมธานี!J107"")"),0.0)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IFERROR(__xludf.DUMMYFUNCTION("IMPORTRANGE(""https://docs.google.com/spreadsheets/d/1SX6NBoVAgQJ6U1MVXOaj8PK2l7WJ3RER9xtqwdhxkhw/edit?usp=sharing"",""ปทุมธานี!J108"")"),0.0)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IFERROR(__xludf.DUMMYFUNCTION("IMPORTRANGE(""https://docs.google.com/spreadsheets/d/1SX6NBoVAgQJ6U1MVXOaj8PK2l7WJ3RER9xtqwdhxkhw/edit?usp=sharing"",""ปทุมธานี!J109"")"),0.0)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IFERROR(__xludf.DUMMYFUNCTION("IMPORTRANGE(""https://docs.google.com/spreadsheets/d/1SX6NBoVAgQJ6U1MVXOaj8PK2l7WJ3RER9xtqwdhxkhw/edit?usp=sharing"",""ปทุมธานี!I110"")"),0.0)</f>
        <v>0</v>
      </c>
      <c r="J185" s="238">
        <f>IFERROR(__xludf.DUMMYFUNCTION("IMPORTRANGE(""https://docs.google.com/spreadsheets/d/1SX6NBoVAgQJ6U1MVXOaj8PK2l7WJ3RER9xtqwdhxkhw/edit?usp=sharing"",""ปทุมธานี!J110"")"),0.0)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IFERROR(__xludf.DUMMYFUNCTION("IMPORTRANGE(""https://docs.google.com/spreadsheets/d/1SX6NBoVAgQJ6U1MVXOaj8PK2l7WJ3RER9xtqwdhxkhw/edit?usp=sharing"",""ปทุมธานี!I111"")"),0.0)</f>
        <v>0</v>
      </c>
      <c r="J186" s="238">
        <f>IFERROR(__xludf.DUMMYFUNCTION("IMPORTRANGE(""https://docs.google.com/spreadsheets/d/1SX6NBoVAgQJ6U1MVXOaj8PK2l7WJ3RER9xtqwdhxkhw/edit?usp=sharing"",""ปทุมธานี!J111"")"),0.0)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IFERROR(__xludf.DUMMYFUNCTION("IMPORTRANGE(""https://docs.google.com/spreadsheets/d/1SX6NBoVAgQJ6U1MVXOaj8PK2l7WJ3RER9xtqwdhxkhw/edit?usp=sharing"",""ปทุมธานี!J112"")"),0.0)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IFERROR(__xludf.DUMMYFUNCTION("IMPORTRANGE(""https://docs.google.com/spreadsheets/d/1SX6NBoVAgQJ6U1MVXOaj8PK2l7WJ3RER9xtqwdhxkhw/edit?usp=sharing"",""ปทุมธานี!J113"")"),0.0)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IFERROR(__xludf.DUMMYFUNCTION("IMPORTRANGE(""https://docs.google.com/spreadsheets/d/1SX6NBoVAgQJ6U1MVXOaj8PK2l7WJ3RER9xtqwdhxkhw/edit?usp=sharing"",""ปทุมธานี!I114"")"),20000.0)</f>
        <v>20000</v>
      </c>
      <c r="J189" s="317">
        <f>IFERROR(__xludf.DUMMYFUNCTION("IMPORTRANGE(""https://docs.google.com/spreadsheets/d/1SX6NBoVAgQJ6U1MVXOaj8PK2l7WJ3RER9xtqwdhxkhw/edit?usp=sharing"",""ปทุมธานี!J114"")"),0.0)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IFERROR(__xludf.DUMMYFUNCTION("IMPORTRANGE(""https://docs.google.com/spreadsheets/d/1SX6NBoVAgQJ6U1MVXOaj8PK2l7WJ3RER9xtqwdhxkhw/edit?usp=sharing"",""ปทุมธานี!J119"")"),0.0)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IFERROR(__xludf.DUMMYFUNCTION("IMPORTRANGE(""https://docs.google.com/spreadsheets/d/1SX6NBoVAgQJ6U1MVXOaj8PK2l7WJ3RER9xtqwdhxkhw/edit?usp=sharing"",""ปทุมธานี!J120"")"),1.0)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IFERROR(__xludf.DUMMYFUNCTION("IMPORTRANGE(""https://docs.google.com/spreadsheets/d/1SX6NBoVAgQJ6U1MVXOaj8PK2l7WJ3RER9xtqwdhxkhw/edit?usp=sharing"",""ปทุมธานี!J121"")"),1.0)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IFERROR(__xludf.DUMMYFUNCTION("IMPORTRANGE(""https://docs.google.com/spreadsheets/d/1SX6NBoVAgQJ6U1MVXOaj8PK2l7WJ3RER9xtqwdhxkhw/edit?usp=sharing"",""ปทุมธานี!J122"")"),0.0)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IFERROR(__xludf.DUMMYFUNCTION("IMPORTRANGE(""https://docs.google.com/spreadsheets/d/1SX6NBoVAgQJ6U1MVXOaj8PK2l7WJ3RER9xtqwdhxkhw/edit?usp=sharing"",""ปทุมธานี!I124"")"),20000.0)</f>
        <v>20000</v>
      </c>
      <c r="J199" s="223">
        <f>IFERROR(__xludf.DUMMYFUNCTION("IMPORTRANGE(""https://docs.google.com/spreadsheets/d/1SX6NBoVAgQJ6U1MVXOaj8PK2l7WJ3RER9xtqwdhxkhw/edit?usp=sharing"",""ปทุมธานี!J124"")"),0.0)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IFERROR(__xludf.DUMMYFUNCTION("IMPORTRANGE(""https://docs.google.com/spreadsheets/d/1SX6NBoVAgQJ6U1MVXOaj8PK2l7WJ3RER9xtqwdhxkhw/edit?usp=sharing"",""ปทุมธานี!I125"")"),20000.0)</f>
        <v>20000</v>
      </c>
      <c r="J200" s="223">
        <f>IFERROR(__xludf.DUMMYFUNCTION("IMPORTRANGE(""https://docs.google.com/spreadsheets/d/1SX6NBoVAgQJ6U1MVXOaj8PK2l7WJ3RER9xtqwdhxkhw/edit?usp=sharing"",""ปทุมธานี!J125"")"),0.0)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IFERROR(__xludf.DUMMYFUNCTION("IMPORTRANGE(""https://docs.google.com/spreadsheets/d/1SX6NBoVAgQJ6U1MVXOaj8PK2l7WJ3RER9xtqwdhxkhw/edit?usp=sharing"",""ปทุมธานี!I126"")"),0.0)</f>
        <v>0</v>
      </c>
      <c r="J201" s="223">
        <f>IFERROR(__xludf.DUMMYFUNCTION("IMPORTRANGE(""https://docs.google.com/spreadsheets/d/1SX6NBoVAgQJ6U1MVXOaj8PK2l7WJ3RER9xtqwdhxkhw/edit?usp=sharing"",""ปทุมธานี!J126"")"),0.0)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IFERROR(__xludf.DUMMYFUNCTION("IMPORTRANGE(""https://docs.google.com/spreadsheets/d/1SX6NBoVAgQJ6U1MVXOaj8PK2l7WJ3RER9xtqwdhxkhw/edit?usp=sharing"",""ปทุมธานี!J127"")"),0.0)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IFERROR(__xludf.DUMMYFUNCTION("IMPORTRANGE(""https://docs.google.com/spreadsheets/d/1SX6NBoVAgQJ6U1MVXOaj8PK2l7WJ3RER9xtqwdhxkhw/edit?usp=sharing"",""ปทุมธานี!J128"")"),0.0)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IFERROR(__xludf.DUMMYFUNCTION("IMPORTRANGE(""https://docs.google.com/spreadsheets/d/1SX6NBoVAgQJ6U1MVXOaj8PK2l7WJ3RER9xtqwdhxkhw/edit?usp=sharing"",""ปทุมธานี!I129"")"),30.0)</f>
        <v>30</v>
      </c>
      <c r="J204" s="317">
        <f>IFERROR(__xludf.DUMMYFUNCTION("IMPORTRANGE(""https://docs.google.com/spreadsheets/d/1SX6NBoVAgQJ6U1MVXOaj8PK2l7WJ3RER9xtqwdhxkhw/edit?usp=sharing"",""ปทุมธานี!J129"")"),30.0)</f>
        <v>30</v>
      </c>
      <c r="K204" s="318">
        <f>IF(I204&gt;0,J204*100/I204,0)</f>
        <v>100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IFERROR(__xludf.DUMMYFUNCTION("IMPORTRANGE(""https://docs.google.com/spreadsheets/d/1SX6NBoVAgQJ6U1MVXOaj8PK2l7WJ3RER9xtqwdhxkhw/edit?usp=sharing"",""ปทุมธานี!J134"")"),0.0)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IFERROR(__xludf.DUMMYFUNCTION("IMPORTRANGE(""https://docs.google.com/spreadsheets/d/1SX6NBoVAgQJ6U1MVXOaj8PK2l7WJ3RER9xtqwdhxkhw/edit?usp=sharing"",""ปทุมธานี!J135"")"),1.0)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IFERROR(__xludf.DUMMYFUNCTION("IMPORTRANGE(""https://docs.google.com/spreadsheets/d/1SX6NBoVAgQJ6U1MVXOaj8PK2l7WJ3RER9xtqwdhxkhw/edit?usp=sharing"",""ปทุมธานี!J136"")"),1.0)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IFERROR(__xludf.DUMMYFUNCTION("IMPORTRANGE(""https://docs.google.com/spreadsheets/d/1SX6NBoVAgQJ6U1MVXOaj8PK2l7WJ3RER9xtqwdhxkhw/edit?usp=sharing"",""ปทุมธานี!J137"")"),1.0)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IFERROR(__xludf.DUMMYFUNCTION("IMPORTRANGE(""https://docs.google.com/spreadsheets/d/1SX6NBoVAgQJ6U1MVXOaj8PK2l7WJ3RER9xtqwdhxkhw/edit?usp=sharing"",""ปทุมธานี!I138"")"),30.0)</f>
        <v>30</v>
      </c>
      <c r="J213" s="238">
        <f>IFERROR(__xludf.DUMMYFUNCTION("IMPORTRANGE(""https://docs.google.com/spreadsheets/d/1SX6NBoVAgQJ6U1MVXOaj8PK2l7WJ3RER9xtqwdhxkhw/edit?usp=sharing"",""ปทุมธานี!J138"")"),30.0)</f>
        <v>30</v>
      </c>
      <c r="K213" s="258">
        <f>IF(I213&gt;0,J213*100/I213,0)</f>
        <v>100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IFERROR(__xludf.DUMMYFUNCTION("IMPORTRANGE(""https://docs.google.com/spreadsheets/d/1SX6NBoVAgQJ6U1MVXOaj8PK2l7WJ3RER9xtqwdhxkhw/edit?usp=sharing"",""ปทุมธานี!I140"")"),0.0)</f>
        <v>0</v>
      </c>
      <c r="J215" s="238">
        <f>IFERROR(__xludf.DUMMYFUNCTION("IMPORTRANGE(""https://docs.google.com/spreadsheets/d/1SX6NBoVAgQJ6U1MVXOaj8PK2l7WJ3RER9xtqwdhxkhw/edit?usp=sharing"",""ปทุมธานี!J140"")"),0.0)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IFERROR(__xludf.DUMMYFUNCTION("IMPORTRANGE(""https://docs.google.com/spreadsheets/d/1SX6NBoVAgQJ6U1MVXOaj8PK2l7WJ3RER9xtqwdhxkhw/edit?usp=sharing"",""ปทุมธานี!I141"")"),1.0)</f>
        <v>1</v>
      </c>
      <c r="J216" s="238">
        <f>IFERROR(__xludf.DUMMYFUNCTION("IMPORTRANGE(""https://docs.google.com/spreadsheets/d/1SX6NBoVAgQJ6U1MVXOaj8PK2l7WJ3RER9xtqwdhxkhw/edit?usp=sharing"",""ปทุมธานี!J141"")"),0.0)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IFERROR(__xludf.DUMMYFUNCTION("IMPORTRANGE(""https://docs.google.com/spreadsheets/d/1SX6NBoVAgQJ6U1MVXOaj8PK2l7WJ3RER9xtqwdhxkhw/edit?usp=sharing"",""ปทุมธานี!J142"")"),0.0)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IFERROR(__xludf.DUMMYFUNCTION("IMPORTRANGE(""https://docs.google.com/spreadsheets/d/1SX6NBoVAgQJ6U1MVXOaj8PK2l7WJ3RER9xtqwdhxkhw/edit?usp=sharing"",""ปทุมธานี!J143"")"),0.0)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IFERROR(__xludf.DUMMYFUNCTION("IMPORTRANGE(""https://docs.google.com/spreadsheets/d/1SX6NBoVAgQJ6U1MVXOaj8PK2l7WJ3RER9xtqwdhxkhw/edit?usp=sharing"",""ปทุมธานี!I144"")"),15.0)</f>
        <v>15</v>
      </c>
      <c r="J219" s="301">
        <f>IFERROR(__xludf.DUMMYFUNCTION("IMPORTRANGE(""https://docs.google.com/spreadsheets/d/1SX6NBoVAgQJ6U1MVXOaj8PK2l7WJ3RER9xtqwdhxkhw/edit?usp=sharing"",""ปทุมธานี!J144"")"),15.0)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0">
        <f>IFERROR(__xludf.DUMMYFUNCTION("IMPORTRANGE(""https://docs.google.com/spreadsheets/d/1Yj_ptqi66GCucihVvJfMjLAmec39IyEx_6qawtMGysU/edit?usp=sharing"",""สบก!BS67"")"),21125.0)</f>
        <v>21125</v>
      </c>
      <c r="N224" s="203">
        <f>IFERROR(__xludf.DUMMYFUNCTION("IMPORTRANGE(""https://docs.google.com/spreadsheets/d/1Yj_ptqi66GCucihVvJfMjLAmec39IyEx_6qawtMGysU/edit?usp=sharing"",""สบก!BT67"")"),21125.0)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IFERROR(__xludf.DUMMYFUNCTION("IMPORTRANGE(""https://docs.google.com/spreadsheets/d/1Yj_ptqi66GCucihVvJfMjLAmec39IyEx_6qawtMGysU/edit?usp=sharing"",""สบก!BO67"")"),0.0)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IFERROR(__xludf.DUMMYFUNCTION("IMPORTRANGE(""https://docs.google.com/spreadsheets/d/1Yj_ptqi66GCucihVvJfMjLAmec39IyEx_6qawtMGysU/edit?usp=sharing"",""สบก!BP67"")"),21125.0)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IFERROR(__xludf.DUMMYFUNCTION("IMPORTRANGE(""https://docs.google.com/spreadsheets/d/1Yj_ptqi66GCucihVvJfMjLAmec39IyEx_6qawtMGysU/edit?usp=sharing"",""สบก!BQ67"")"),0.0)</f>
        <v>0</v>
      </c>
      <c r="M228" s="70"/>
      <c r="N228" s="70">
        <f>IFERROR(__xludf.DUMMYFUNCTION("IMPORTRANGE(""https://docs.google.com/spreadsheets/d/1Yj_ptqi66GCucihVvJfMjLAmec39IyEx_6qawtMGysU/edit?usp=sharing"",""สบก!BU67"")"),0.0)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IFERROR(__xludf.DUMMYFUNCTION("IMPORTRANGE(""https://docs.google.com/spreadsheets/d/1SX6NBoVAgQJ6U1MVXOaj8PK2l7WJ3RER9xtqwdhxkhw/edit?usp=sharing"",""ปทุมธานี!I149"")"),15.0)</f>
        <v>15</v>
      </c>
      <c r="J229" s="301">
        <f>IFERROR(__xludf.DUMMYFUNCTION("IMPORTRANGE(""https://docs.google.com/spreadsheets/d/1SX6NBoVAgQJ6U1MVXOaj8PK2l7WJ3RER9xtqwdhxkhw/edit?usp=sharing"",""ปทุมธานี!J149"")"),15.0)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IFERROR(__xludf.DUMMYFUNCTION("IMPORTRANGE(""https://docs.google.com/spreadsheets/d/1SX6NBoVAgQJ6U1MVXOaj8PK2l7WJ3RER9xtqwdhxkhw/edit?usp=sharing"",""ปทุมธานี!J151"")"),0.0)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IFERROR(__xludf.DUMMYFUNCTION("IMPORTRANGE(""https://docs.google.com/spreadsheets/d/1SX6NBoVAgQJ6U1MVXOaj8PK2l7WJ3RER9xtqwdhxkhw/edit?usp=sharing"",""ปทุมธานี!J152"")"),1.0)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IFERROR(__xludf.DUMMYFUNCTION("IMPORTRANGE(""https://docs.google.com/spreadsheets/d/1SX6NBoVAgQJ6U1MVXOaj8PK2l7WJ3RER9xtqwdhxkhw/edit?usp=sharing"",""ปทุมธานี!J153"")"),1.0)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IFERROR(__xludf.DUMMYFUNCTION("IMPORTRANGE(""https://docs.google.com/spreadsheets/d/1SX6NBoVAgQJ6U1MVXOaj8PK2l7WJ3RER9xtqwdhxkhw/edit?usp=sharing"",""ปทุมธานี!J154"")"),1.0)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IFERROR(__xludf.DUMMYFUNCTION("IMPORTRANGE(""https://docs.google.com/spreadsheets/d/1SX6NBoVAgQJ6U1MVXOaj8PK2l7WJ3RER9xtqwdhxkhw/edit?usp=sharing"",""ปทุมธานี!I155"")"),15.0)</f>
        <v>15</v>
      </c>
      <c r="J235" s="223">
        <f>IFERROR(__xludf.DUMMYFUNCTION("IMPORTRANGE(""https://docs.google.com/spreadsheets/d/1SX6NBoVAgQJ6U1MVXOaj8PK2l7WJ3RER9xtqwdhxkhw/edit?usp=sharing"",""ปทุมธานี!J155"")"),15.0)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IFERROR(__xludf.DUMMYFUNCTION("IMPORTRANGE(""https://docs.google.com/spreadsheets/d/1SX6NBoVAgQJ6U1MVXOaj8PK2l7WJ3RER9xtqwdhxkhw/edit?usp=sharing"",""ปทุมธานี!J156"")"),0.0)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IFERROR(__xludf.DUMMYFUNCTION("IMPORTRANGE(""https://docs.google.com/spreadsheets/d/1SX6NBoVAgQJ6U1MVXOaj8PK2l7WJ3RER9xtqwdhxkhw/edit?usp=sharing"",""ปทุมธานี!J157"")"),0.0)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IFERROR(__xludf.DUMMYFUNCTION("IMPORTRANGE(""https://docs.google.com/spreadsheets/d/1SX6NBoVAgQJ6U1MVXOaj8PK2l7WJ3RER9xtqwdhxkhw/edit?usp=sharing"",""ปทุมธานี!I158"")"),0.0)</f>
        <v>0</v>
      </c>
      <c r="J238" s="301">
        <f>IFERROR(__xludf.DUMMYFUNCTION("IMPORTRANGE(""https://docs.google.com/spreadsheets/d/1SX6NBoVAgQJ6U1MVXOaj8PK2l7WJ3RER9xtqwdhxkhw/edit?usp=sharing"",""ปทุมธานี!J158"")"),0.0)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IFERROR(__xludf.DUMMYFUNCTION("IMPORTRANGE(""https://docs.google.com/spreadsheets/d/1SX6NBoVAgQJ6U1MVXOaj8PK2l7WJ3RER9xtqwdhxkhw/edit?usp=sharing"",""ปทุมธานี!J159"")"),"")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IFERROR(__xludf.DUMMYFUNCTION("IMPORTRANGE(""https://docs.google.com/spreadsheets/d/1SX6NBoVAgQJ6U1MVXOaj8PK2l7WJ3RER9xtqwdhxkhw/edit?usp=sharing"",""ปทุมธานี!J161"")"),0.0)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IFERROR(__xludf.DUMMYFUNCTION("IMPORTRANGE(""https://docs.google.com/spreadsheets/d/1SX6NBoVAgQJ6U1MVXOaj8PK2l7WJ3RER9xtqwdhxkhw/edit?usp=sharing"",""ปทุมธานี!J162"")"),0.0)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IFERROR(__xludf.DUMMYFUNCTION("IMPORTRANGE(""https://docs.google.com/spreadsheets/d/1SX6NBoVAgQJ6U1MVXOaj8PK2l7WJ3RER9xtqwdhxkhw/edit?usp=sharing"",""ปทุมธานี!J163"")"),0.0)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IFERROR(__xludf.DUMMYFUNCTION("IMPORTRANGE(""https://docs.google.com/spreadsheets/d/1SX6NBoVAgQJ6U1MVXOaj8PK2l7WJ3RER9xtqwdhxkhw/edit?usp=sharing"",""ปทุมธานี!I164"")"),0.0)</f>
        <v>0</v>
      </c>
      <c r="J244" s="222">
        <f>IFERROR(__xludf.DUMMYFUNCTION("IMPORTRANGE(""https://docs.google.com/spreadsheets/d/1SX6NBoVAgQJ6U1MVXOaj8PK2l7WJ3RER9xtqwdhxkhw/edit?usp=sharing"",""ปทุมธานี!J164"")"),0.0)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IFERROR(__xludf.DUMMYFUNCTION("IMPORTRANGE(""https://docs.google.com/spreadsheets/d/1SX6NBoVAgQJ6U1MVXOaj8PK2l7WJ3RER9xtqwdhxkhw/edit?usp=sharing"",""ปทุมธานี!J165"")"),0.0)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IFERROR(__xludf.DUMMYFUNCTION("IMPORTRANGE(""https://docs.google.com/spreadsheets/d/1SX6NBoVAgQJ6U1MVXOaj8PK2l7WJ3RER9xtqwdhxkhw/edit?usp=sharing"",""ปทุมธานี!J166"")"),0.0)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IFERROR(__xludf.DUMMYFUNCTION("IMPORTRANGE(""https://docs.google.com/spreadsheets/d/1SX6NBoVAgQJ6U1MVXOaj8PK2l7WJ3RER9xtqwdhxkhw/edit?usp=sharing"",""ปทุมธานี!I169"")"),0.0)</f>
        <v>0</v>
      </c>
      <c r="J249" s="349">
        <f>IFERROR(__xludf.DUMMYFUNCTION("IMPORTRANGE(""https://docs.google.com/spreadsheets/d/1SX6NBoVAgQJ6U1MVXOaj8PK2l7WJ3RER9xtqwdhxkhw/edit?usp=sharing"",""ปทุมธานี!J169"")"),0.0)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IFERROR(__xludf.DUMMYFUNCTION("IMPORTRANGE(""https://docs.google.com/spreadsheets/d/1Yj_ptqi66GCucihVvJfMjLAmec39IyEx_6qawtMGysU/edit?usp=sharing"",""สบก!CB67"")"),0.0)</f>
        <v>0</v>
      </c>
      <c r="N254" s="203">
        <f>IFERROR(__xludf.DUMMYFUNCTION("IMPORTRANGE(""https://docs.google.com/spreadsheets/d/1Yj_ptqi66GCucihVvJfMjLAmec39IyEx_6qawtMGysU/edit?usp=sharing"",""สบก!CC67"")"),0.0)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IFERROR(__xludf.DUMMYFUNCTION("IMPORTRANGE(""https://docs.google.com/spreadsheets/d/1Yj_ptqi66GCucihVvJfMjLAmec39IyEx_6qawtMGysU/edit?usp=sharing"",""สบก!BX67"")"),0.0)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IFERROR(__xludf.DUMMYFUNCTION("IMPORTRANGE(""https://docs.google.com/spreadsheets/d/1Yj_ptqi66GCucihVvJfMjLAmec39IyEx_6qawtMGysU/edit?usp=sharing"",""สบก!BY67"")"),0.0)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IFERROR(__xludf.DUMMYFUNCTION("IMPORTRANGE(""https://docs.google.com/spreadsheets/d/1Yj_ptqi66GCucihVvJfMjLAmec39IyEx_6qawtMGysU/edit?usp=sharing"",""สบก!BZ67"")"),0.0)</f>
        <v>0</v>
      </c>
      <c r="M258" s="70"/>
      <c r="N258" s="70">
        <f>IFERROR(__xludf.DUMMYFUNCTION("IMPORTRANGE(""https://docs.google.com/spreadsheets/d/1Yj_ptqi66GCucihVvJfMjLAmec39IyEx_6qawtMGysU/edit?usp=sharing"",""สบก!CD67"")"),0.0)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IFERROR(__xludf.DUMMYFUNCTION("IMPORTRANGE(""https://docs.google.com/spreadsheets/d/1SX6NBoVAgQJ6U1MVXOaj8PK2l7WJ3RER9xtqwdhxkhw/edit?usp=sharing"",""ปทุมธานี!J175"")"),0.0)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IFERROR(__xludf.DUMMYFUNCTION("IMPORTRANGE(""https://docs.google.com/spreadsheets/d/1SX6NBoVAgQJ6U1MVXOaj8PK2l7WJ3RER9xtqwdhxkhw/edit?usp=sharing"",""ปทุมธานี!J176"")"),0.0)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IFERROR(__xludf.DUMMYFUNCTION("IMPORTRANGE(""https://docs.google.com/spreadsheets/d/1SX6NBoVAgQJ6U1MVXOaj8PK2l7WJ3RER9xtqwdhxkhw/edit?usp=sharing"",""ปทุมธานี!J177"")"),0.0)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IFERROR(__xludf.DUMMYFUNCTION("IMPORTRANGE(""https://docs.google.com/spreadsheets/d/1SX6NBoVAgQJ6U1MVXOaj8PK2l7WJ3RER9xtqwdhxkhw/edit?usp=sharing"",""ปทุมธานี!J178"")"),0.0)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IFERROR(__xludf.DUMMYFUNCTION("IMPORTRANGE(""https://docs.google.com/spreadsheets/d/1SX6NBoVAgQJ6U1MVXOaj8PK2l7WJ3RER9xtqwdhxkhw/edit?usp=sharing"",""ปทุมธานี!I179"")"),0.0)</f>
        <v>0</v>
      </c>
      <c r="J264" s="223">
        <f>IFERROR(__xludf.DUMMYFUNCTION("IMPORTRANGE(""https://docs.google.com/spreadsheets/d/1SX6NBoVAgQJ6U1MVXOaj8PK2l7WJ3RER9xtqwdhxkhw/edit?usp=sharing"",""ปทุมธานี!J179"")"),0.0)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IFERROR(__xludf.DUMMYFUNCTION("IMPORTRANGE(""https://docs.google.com/spreadsheets/d/1SX6NBoVAgQJ6U1MVXOaj8PK2l7WJ3RER9xtqwdhxkhw/edit?usp=sharing"",""ปทุมธานี!I180"")"),0.0)</f>
        <v>0</v>
      </c>
      <c r="J265" s="223">
        <f>IFERROR(__xludf.DUMMYFUNCTION("IMPORTRANGE(""https://docs.google.com/spreadsheets/d/1SX6NBoVAgQJ6U1MVXOaj8PK2l7WJ3RER9xtqwdhxkhw/edit?usp=sharing"",""ปทุมธานี!J180"")"),0.0)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IFERROR(__xludf.DUMMYFUNCTION("IMPORTRANGE(""https://docs.google.com/spreadsheets/d/1SX6NBoVAgQJ6U1MVXOaj8PK2l7WJ3RER9xtqwdhxkhw/edit?usp=sharing"",""ปทุมธานี!I181"")"),0.0)</f>
        <v>0</v>
      </c>
      <c r="J266" s="223">
        <f>IFERROR(__xludf.DUMMYFUNCTION("IMPORTRANGE(""https://docs.google.com/spreadsheets/d/1SX6NBoVAgQJ6U1MVXOaj8PK2l7WJ3RER9xtqwdhxkhw/edit?usp=sharing"",""ปทุมธานี!J181"")"),0.0)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IFERROR(__xludf.DUMMYFUNCTION("IMPORTRANGE(""https://docs.google.com/spreadsheets/d/1SX6NBoVAgQJ6U1MVXOaj8PK2l7WJ3RER9xtqwdhxkhw/edit?usp=sharing"",""ปทุมธานี!I182"")"),0.0)</f>
        <v>0</v>
      </c>
      <c r="J267" s="223">
        <f>IFERROR(__xludf.DUMMYFUNCTION("IMPORTRANGE(""https://docs.google.com/spreadsheets/d/1SX6NBoVAgQJ6U1MVXOaj8PK2l7WJ3RER9xtqwdhxkhw/edit?usp=sharing"",""ปทุมธานี!J182"")"),0.0)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IFERROR(__xludf.DUMMYFUNCTION("IMPORTRANGE(""https://docs.google.com/spreadsheets/d/1SX6NBoVAgQJ6U1MVXOaj8PK2l7WJ3RER9xtqwdhxkhw/edit?usp=sharing"",""ปทุมธานี!J183"")"),0.0)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IFERROR(__xludf.DUMMYFUNCTION("IMPORTRANGE(""https://docs.google.com/spreadsheets/d/1SX6NBoVAgQJ6U1MVXOaj8PK2l7WJ3RER9xtqwdhxkhw/edit?usp=sharing"",""ปทุมธานี!J184"")"),0.0)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IFERROR(__xludf.DUMMYFUNCTION("IMPORTRANGE(""https://docs.google.com/spreadsheets/d/1SX6NBoVAgQJ6U1MVXOaj8PK2l7WJ3RER9xtqwdhxkhw/edit?usp=sharing"",""ปทุมธานี!I185"")"),15.0)</f>
        <v>15</v>
      </c>
      <c r="J270" s="349">
        <f>IFERROR(__xludf.DUMMYFUNCTION("IMPORTRANGE(""https://docs.google.com/spreadsheets/d/1SX6NBoVAgQJ6U1MVXOaj8PK2l7WJ3RER9xtqwdhxkhw/edit?usp=sharing"",""ปทุมธานี!J185"")"),0.0)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0">
        <f>IFERROR(__xludf.DUMMYFUNCTION("IMPORTRANGE(""https://docs.google.com/spreadsheets/d/1Yj_ptqi66GCucihVvJfMjLAmec39IyEx_6qawtMGysU/edit?usp=sharing"",""สบก!CK67"")"),32250.0)</f>
        <v>32250</v>
      </c>
      <c r="N275" s="203">
        <f>IFERROR(__xludf.DUMMYFUNCTION("IMPORTRANGE(""https://docs.google.com/spreadsheets/d/1Yj_ptqi66GCucihVvJfMjLAmec39IyEx_6qawtMGysU/edit?usp=sharing"",""สบก!CL67"")"),0.0)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IFERROR(__xludf.DUMMYFUNCTION("IMPORTRANGE(""https://docs.google.com/spreadsheets/d/1Yj_ptqi66GCucihVvJfMjLAmec39IyEx_6qawtMGysU/edit?usp=sharing"",""สบก!CG67"")"),0.0)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IFERROR(__xludf.DUMMYFUNCTION("IMPORTRANGE(""https://docs.google.com/spreadsheets/d/1Yj_ptqi66GCucihVvJfMjLAmec39IyEx_6qawtMGysU/edit?usp=sharing"",""สบก!CH67"")"),55200.0)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IFERROR(__xludf.DUMMYFUNCTION("IMPORTRANGE(""https://docs.google.com/spreadsheets/d/1Yj_ptqi66GCucihVvJfMjLAmec39IyEx_6qawtMGysU/edit?usp=sharing"",""สบก!CI67"")"),0.0)</f>
        <v>0</v>
      </c>
      <c r="M279" s="70"/>
      <c r="N279" s="70">
        <f>IFERROR(__xludf.DUMMYFUNCTION("IMPORTRANGE(""https://docs.google.com/spreadsheets/d/1Yj_ptqi66GCucihVvJfMjLAmec39IyEx_6qawtMGysU/edit?usp=sharing"",""สบก!CM67"")"),0.0)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IFERROR(__xludf.DUMMYFUNCTION("IMPORTRANGE(""https://docs.google.com/spreadsheets/d/1SX6NBoVAgQJ6U1MVXOaj8PK2l7WJ3RER9xtqwdhxkhw/edit?usp=sharing"",""ปทุมธานี!J191"")"),1.0)</f>
        <v>1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IFERROR(__xludf.DUMMYFUNCTION("IMPORTRANGE(""https://docs.google.com/spreadsheets/d/1SX6NBoVAgQJ6U1MVXOaj8PK2l7WJ3RER9xtqwdhxkhw/edit?usp=sharing"",""ปทุมธานี!J192"")"),1.0)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IFERROR(__xludf.DUMMYFUNCTION("IMPORTRANGE(""https://docs.google.com/spreadsheets/d/1SX6NBoVAgQJ6U1MVXOaj8PK2l7WJ3RER9xtqwdhxkhw/edit?usp=sharing"",""ปทุมธานี!J193"")"),1.0)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IFERROR(__xludf.DUMMYFUNCTION("IMPORTRANGE(""https://docs.google.com/spreadsheets/d/1SX6NBoVAgQJ6U1MVXOaj8PK2l7WJ3RER9xtqwdhxkhw/edit?usp=sharing"",""ปทุมธานี!J194"")"),0.0)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IFERROR(__xludf.DUMMYFUNCTION("IMPORTRANGE(""https://docs.google.com/spreadsheets/d/1SX6NBoVAgQJ6U1MVXOaj8PK2l7WJ3RER9xtqwdhxkhw/edit?usp=sharing"",""ปทุมธานี!I195"")"),15.0)</f>
        <v>15</v>
      </c>
      <c r="J285" s="223">
        <f>IFERROR(__xludf.DUMMYFUNCTION("IMPORTRANGE(""https://docs.google.com/spreadsheets/d/1SX6NBoVAgQJ6U1MVXOaj8PK2l7WJ3RER9xtqwdhxkhw/edit?usp=sharing"",""ปทุมธานี!J195"")"),0.0)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IFERROR(__xludf.DUMMYFUNCTION("IMPORTRANGE(""https://docs.google.com/spreadsheets/d/1SX6NBoVAgQJ6U1MVXOaj8PK2l7WJ3RER9xtqwdhxkhw/edit?usp=sharing"",""ปทุมธานี!J196"")"),0.0)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IFERROR(__xludf.DUMMYFUNCTION("IMPORTRANGE(""https://docs.google.com/spreadsheets/d/1SX6NBoVAgQJ6U1MVXOaj8PK2l7WJ3RER9xtqwdhxkhw/edit?usp=sharing"",""ปทุมธานี!J197"")"),0.0)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IFERROR(__xludf.DUMMYFUNCTION("IMPORTRANGE(""https://docs.google.com/spreadsheets/d/1SX6NBoVAgQJ6U1MVXOaj8PK2l7WJ3RER9xtqwdhxkhw/edit?usp=sharing"",""ปทุมธานี!I199"")"),0.0)</f>
        <v>0</v>
      </c>
      <c r="J289" s="349">
        <f>IFERROR(__xludf.DUMMYFUNCTION("IMPORTRANGE(""https://docs.google.com/spreadsheets/d/1SX6NBoVAgQJ6U1MVXOaj8PK2l7WJ3RER9xtqwdhxkhw/edit?usp=sharing"",""ปทุมธานี!J199"")"),0.0)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IFERROR(__xludf.DUMMYFUNCTION("IMPORTRANGE(""https://docs.google.com/spreadsheets/d/1Yj_ptqi66GCucihVvJfMjLAmec39IyEx_6qawtMGysU/edit?usp=sharing"",""สบก!CT67"")"),0.0)</f>
        <v>0</v>
      </c>
      <c r="N294" s="203">
        <f>IFERROR(__xludf.DUMMYFUNCTION("IMPORTRANGE(""https://docs.google.com/spreadsheets/d/1Yj_ptqi66GCucihVvJfMjLAmec39IyEx_6qawtMGysU/edit?usp=sharing"",""สบก!CU67"")"),0.0)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IFERROR(__xludf.DUMMYFUNCTION("IMPORTRANGE(""https://docs.google.com/spreadsheets/d/1Yj_ptqi66GCucihVvJfMjLAmec39IyEx_6qawtMGysU/edit?usp=sharing"",""สบก!CP67"")"),0.0)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IFERROR(__xludf.DUMMYFUNCTION("IMPORTRANGE(""https://docs.google.com/spreadsheets/d/1Yj_ptqi66GCucihVvJfMjLAmec39IyEx_6qawtMGysU/edit?usp=sharing"",""สบก!CQ67"")"),0.0)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IFERROR(__xludf.DUMMYFUNCTION("IMPORTRANGE(""https://docs.google.com/spreadsheets/d/1Yj_ptqi66GCucihVvJfMjLAmec39IyEx_6qawtMGysU/edit?usp=sharing"",""สบก!CR67"")"),0.0)</f>
        <v>0</v>
      </c>
      <c r="M298" s="70"/>
      <c r="N298" s="70">
        <f>IFERROR(__xludf.DUMMYFUNCTION("IMPORTRANGE(""https://docs.google.com/spreadsheets/d/1Yj_ptqi66GCucihVvJfMjLAmec39IyEx_6qawtMGysU/edit?usp=sharing"",""สบก!CV67"")"),0.0)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IFERROR(__xludf.DUMMYFUNCTION("IMPORTRANGE(""https://docs.google.com/spreadsheets/d/1SX6NBoVAgQJ6U1MVXOaj8PK2l7WJ3RER9xtqwdhxkhw/edit?usp=sharing"",""ปทุมธานี!J205"")"),0.0)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IFERROR(__xludf.DUMMYFUNCTION("IMPORTRANGE(""https://docs.google.com/spreadsheets/d/1SX6NBoVAgQJ6U1MVXOaj8PK2l7WJ3RER9xtqwdhxkhw/edit?usp=sharing"",""ปทุมธานี!J206"")"),0.0)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IFERROR(__xludf.DUMMYFUNCTION("IMPORTRANGE(""https://docs.google.com/spreadsheets/d/1SX6NBoVAgQJ6U1MVXOaj8PK2l7WJ3RER9xtqwdhxkhw/edit?usp=sharing"",""ปทุมธานี!J207"")"),0.0)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IFERROR(__xludf.DUMMYFUNCTION("IMPORTRANGE(""https://docs.google.com/spreadsheets/d/1SX6NBoVAgQJ6U1MVXOaj8PK2l7WJ3RER9xtqwdhxkhw/edit?usp=sharing"",""ปทุมธานี!J208"")"),0.0)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IFERROR(__xludf.DUMMYFUNCTION("IMPORTRANGE(""https://docs.google.com/spreadsheets/d/1SX6NBoVAgQJ6U1MVXOaj8PK2l7WJ3RER9xtqwdhxkhw/edit?usp=sharing"",""ปทุมธานี!I209"")"),0.0)</f>
        <v>0</v>
      </c>
      <c r="J304" s="238">
        <f>IFERROR(__xludf.DUMMYFUNCTION("IMPORTRANGE(""https://docs.google.com/spreadsheets/d/1SX6NBoVAgQJ6U1MVXOaj8PK2l7WJ3RER9xtqwdhxkhw/edit?usp=sharing"",""ปทุมธานี!J209"")"),0.0)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IFERROR(__xludf.DUMMYFUNCTION("IMPORTRANGE(""https://docs.google.com/spreadsheets/d/1SX6NBoVAgQJ6U1MVXOaj8PK2l7WJ3RER9xtqwdhxkhw/edit?usp=sharing"",""ปทุมธานี!I211"")"),0.0)</f>
        <v>0</v>
      </c>
      <c r="J306" s="238">
        <f>IFERROR(__xludf.DUMMYFUNCTION("IMPORTRANGE(""https://docs.google.com/spreadsheets/d/1SX6NBoVAgQJ6U1MVXOaj8PK2l7WJ3RER9xtqwdhxkhw/edit?usp=sharing"",""ปทุมธานี!J211"")"),0.0)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IFERROR(__xludf.DUMMYFUNCTION("IMPORTRANGE(""https://docs.google.com/spreadsheets/d/1SX6NBoVAgQJ6U1MVXOaj8PK2l7WJ3RER9xtqwdhxkhw/edit?usp=sharing"",""ปทุมธานี!J212"")"),0.0)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IFERROR(__xludf.DUMMYFUNCTION("IMPORTRANGE(""https://docs.google.com/spreadsheets/d/1SX6NBoVAgQJ6U1MVXOaj8PK2l7WJ3RER9xtqwdhxkhw/edit?usp=sharing"",""ปทุมธานี!J213"")"),0.0)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IFERROR(__xludf.DUMMYFUNCTION("IMPORTRANGE(""https://docs.google.com/spreadsheets/d/1SX6NBoVAgQJ6U1MVXOaj8PK2l7WJ3RER9xtqwdhxkhw/edit?usp=sharing"",""ปทุมธานี!I214"")"),0.0)</f>
        <v>0</v>
      </c>
      <c r="J309" s="366">
        <f>IFERROR(__xludf.DUMMYFUNCTION("IMPORTRANGE(""https://docs.google.com/spreadsheets/d/1SX6NBoVAgQJ6U1MVXOaj8PK2l7WJ3RER9xtqwdhxkhw/edit?usp=sharing"",""ปทุมธานี!J214"")"),0.0)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IFERROR(__xludf.DUMMYFUNCTION("IMPORTRANGE(""https://docs.google.com/spreadsheets/d/1Yj_ptqi66GCucihVvJfMjLAmec39IyEx_6qawtMGysU/edit?usp=sharing"",""สบก!DC67"")"),0.0)</f>
        <v>0</v>
      </c>
      <c r="N314" s="203">
        <f>IFERROR(__xludf.DUMMYFUNCTION("IMPORTRANGE(""https://docs.google.com/spreadsheets/d/1Yj_ptqi66GCucihVvJfMjLAmec39IyEx_6qawtMGysU/edit?usp=sharing"",""สบก!DD67"")"),0.0)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IFERROR(__xludf.DUMMYFUNCTION("IMPORTRANGE(""https://docs.google.com/spreadsheets/d/1Yj_ptqi66GCucihVvJfMjLAmec39IyEx_6qawtMGysU/edit?usp=sharing"",""สบก!CY67"")"),0.0)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IFERROR(__xludf.DUMMYFUNCTION("IMPORTRANGE(""https://docs.google.com/spreadsheets/d/1Yj_ptqi66GCucihVvJfMjLAmec39IyEx_6qawtMGysU/edit?usp=sharing"",""สบก!CZ67"")"),0.0)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IFERROR(__xludf.DUMMYFUNCTION("IMPORTRANGE(""https://docs.google.com/spreadsheets/d/1Yj_ptqi66GCucihVvJfMjLAmec39IyEx_6qawtMGysU/edit?usp=sharing"",""สบก!DA67"")"),0.0)</f>
        <v>0</v>
      </c>
      <c r="M318" s="70"/>
      <c r="N318" s="70">
        <f>IFERROR(__xludf.DUMMYFUNCTION("IMPORTRANGE(""https://docs.google.com/spreadsheets/d/1Yj_ptqi66GCucihVvJfMjLAmec39IyEx_6qawtMGysU/edit?usp=sharing"",""สบก!DE67"")"),0.0)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IFERROR(__xludf.DUMMYFUNCTION("IMPORTRANGE(""https://docs.google.com/spreadsheets/d/1SX6NBoVAgQJ6U1MVXOaj8PK2l7WJ3RER9xtqwdhxkhw/edit?usp=sharing"",""ปทุมธานี!J220"")"),0.0)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IFERROR(__xludf.DUMMYFUNCTION("IMPORTRANGE(""https://docs.google.com/spreadsheets/d/1SX6NBoVAgQJ6U1MVXOaj8PK2l7WJ3RER9xtqwdhxkhw/edit?usp=sharing"",""ปทุมธานี!J221"")"),0.0)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IFERROR(__xludf.DUMMYFUNCTION("IMPORTRANGE(""https://docs.google.com/spreadsheets/d/1SX6NBoVAgQJ6U1MVXOaj8PK2l7WJ3RER9xtqwdhxkhw/edit?usp=sharing"",""ปทุมธานี!J222"")"),0.0)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IFERROR(__xludf.DUMMYFUNCTION("IMPORTRANGE(""https://docs.google.com/spreadsheets/d/1SX6NBoVAgQJ6U1MVXOaj8PK2l7WJ3RER9xtqwdhxkhw/edit?usp=sharing"",""ปทุมธานี!J223"")"),0.0)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IFERROR(__xludf.DUMMYFUNCTION("IMPORTRANGE(""https://docs.google.com/spreadsheets/d/1SX6NBoVAgQJ6U1MVXOaj8PK2l7WJ3RER9xtqwdhxkhw/edit?usp=sharing"",""ปทุมธานี!I224"")"),0.0)</f>
        <v>0</v>
      </c>
      <c r="J324" s="238">
        <f>IFERROR(__xludf.DUMMYFUNCTION("IMPORTRANGE(""https://docs.google.com/spreadsheets/d/1SX6NBoVAgQJ6U1MVXOaj8PK2l7WJ3RER9xtqwdhxkhw/edit?usp=sharing"",""ปทุมธานี!J224"")"),0.0)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IFERROR(__xludf.DUMMYFUNCTION("IMPORTRANGE(""https://docs.google.com/spreadsheets/d/1SX6NBoVAgQJ6U1MVXOaj8PK2l7WJ3RER9xtqwdhxkhw/edit?usp=sharing"",""ปทุมธานี!J225"")"),0.0)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IFERROR(__xludf.DUMMYFUNCTION("IMPORTRANGE(""https://docs.google.com/spreadsheets/d/1SX6NBoVAgQJ6U1MVXOaj8PK2l7WJ3RER9xtqwdhxkhw/edit?usp=sharing"",""ปทุมธานี!J226"")"),0.0)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IFERROR(__xludf.DUMMYFUNCTION("IMPORTRANGE(""https://docs.google.com/spreadsheets/d/1SX6NBoVAgQJ6U1MVXOaj8PK2l7WJ3RER9xtqwdhxkhw/edit?usp=sharing"",""ปทุมธานี!I228"")"),0.0)</f>
        <v>0</v>
      </c>
      <c r="J328" s="372">
        <f>IFERROR(__xludf.DUMMYFUNCTION("IMPORTRANGE(""https://docs.google.com/spreadsheets/d/1SX6NBoVAgQJ6U1MVXOaj8PK2l7WJ3RER9xtqwdhxkhw/edit?usp=sharing"",""ปทุมธานี!J228"")"),0.0)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570980</v>
      </c>
      <c r="M329" s="183">
        <f t="shared" si="99"/>
        <v>285490</v>
      </c>
      <c r="N329" s="183">
        <f t="shared" si="99"/>
        <v>101873</v>
      </c>
      <c r="O329" s="182">
        <f t="shared" ref="O329:O331" si="101">IF(L329&gt;0,N329*100/L329,0)</f>
        <v>17.8417808</v>
      </c>
      <c r="P329" s="182">
        <f t="shared" ref="P329:P331" si="102">IF(M329&gt;0,N329*100/M329,0)</f>
        <v>35.6835616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570980</v>
      </c>
      <c r="M331" s="188">
        <f t="shared" si="103"/>
        <v>285490</v>
      </c>
      <c r="N331" s="188">
        <f t="shared" si="103"/>
        <v>101873</v>
      </c>
      <c r="O331" s="187">
        <f t="shared" si="101"/>
        <v>17.8417808</v>
      </c>
      <c r="P331" s="187">
        <f t="shared" si="102"/>
        <v>35.6835616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570980</v>
      </c>
      <c r="M333" s="200">
        <f>IFERROR(__xludf.DUMMYFUNCTION("IMPORTRANGE(""https://docs.google.com/spreadsheets/d/1Yj_ptqi66GCucihVvJfMjLAmec39IyEx_6qawtMGysU/edit?usp=sharing"",""สบก!DL67"")"),285490.0)</f>
        <v>285490</v>
      </c>
      <c r="N333" s="203">
        <f>IFERROR(__xludf.DUMMYFUNCTION("IMPORTRANGE(""https://docs.google.com/spreadsheets/d/1Yj_ptqi66GCucihVvJfMjLAmec39IyEx_6qawtMGysU/edit?usp=sharing"",""สบก!DM67"")"),101873.0)</f>
        <v>101873</v>
      </c>
      <c r="O333" s="203">
        <f>IF(L333&gt;0,N333*100/L333,0)</f>
        <v>17.8417808</v>
      </c>
      <c r="P333" s="203">
        <f>IF(M333&gt;0,N333*100/M333,0)</f>
        <v>35.6835616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IFERROR(__xludf.DUMMYFUNCTION("IMPORTRANGE(""https://docs.google.com/spreadsheets/d/1Yj_ptqi66GCucihVvJfMjLAmec39IyEx_6qawtMGysU/edit?usp=sharing"",""สบก!DH67"")"),388800.0)</f>
        <v>388800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IFERROR(__xludf.DUMMYFUNCTION("IMPORTRANGE(""https://docs.google.com/spreadsheets/d/1Yj_ptqi66GCucihVvJfMjLAmec39IyEx_6qawtMGysU/edit?usp=sharing"",""สบก!DI67"")"),182180.0)</f>
        <v>182180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IFERROR(__xludf.DUMMYFUNCTION("IMPORTRANGE(""https://docs.google.com/spreadsheets/d/1Yj_ptqi66GCucihVvJfMjLAmec39IyEx_6qawtMGysU/edit?usp=sharing"",""สบก!DJ67"")"),0.0)</f>
        <v>0</v>
      </c>
      <c r="M337" s="70"/>
      <c r="N337" s="70">
        <f>IFERROR(__xludf.DUMMYFUNCTION("IMPORTRANGE(""https://docs.google.com/spreadsheets/d/1Yj_ptqi66GCucihVvJfMjLAmec39IyEx_6qawtMGysU/edit?usp=sharing"",""สบก!DN67"")"),0.0)</f>
        <v>0</v>
      </c>
      <c r="O337" s="70">
        <f>IF(L337&gt;0,N337*100/L337,0)</f>
        <v>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IFERROR(__xludf.DUMMYFUNCTION("IMPORTRANGE(""https://docs.google.com/spreadsheets/d/1SX6NBoVAgQJ6U1MVXOaj8PK2l7WJ3RER9xtqwdhxkhw/edit?usp=sharing"",""ปทุมธานี!I234"")"),0.0)</f>
        <v>0</v>
      </c>
      <c r="J339" s="222">
        <f>IFERROR(__xludf.DUMMYFUNCTION("IMPORTRANGE(""https://docs.google.com/spreadsheets/d/1SX6NBoVAgQJ6U1MVXOaj8PK2l7WJ3RER9xtqwdhxkhw/edit?usp=sharing"",""ปทุมธานี!J234"")"),0.0)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IFERROR(__xludf.DUMMYFUNCTION("IMPORTRANGE(""https://docs.google.com/spreadsheets/d/1SX6NBoVAgQJ6U1MVXOaj8PK2l7WJ3RER9xtqwdhxkhw/edit?usp=sharing"",""ปทุมธานี!I235"")"),0.0)</f>
        <v>0</v>
      </c>
      <c r="J340" s="222">
        <f>IFERROR(__xludf.DUMMYFUNCTION("IMPORTRANGE(""https://docs.google.com/spreadsheets/d/1SX6NBoVAgQJ6U1MVXOaj8PK2l7WJ3RER9xtqwdhxkhw/edit?usp=sharing"",""ปทุมธานี!J235"")"),0.0)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IFERROR(__xludf.DUMMYFUNCTION("IMPORTRANGE(""https://docs.google.com/spreadsheets/d/1SX6NBoVAgQJ6U1MVXOaj8PK2l7WJ3RER9xtqwdhxkhw/edit?usp=sharing"",""ปทุมธานี!I236"")"),0.0)</f>
        <v>0</v>
      </c>
      <c r="J341" s="222">
        <f>IFERROR(__xludf.DUMMYFUNCTION("IMPORTRANGE(""https://docs.google.com/spreadsheets/d/1SX6NBoVAgQJ6U1MVXOaj8PK2l7WJ3RER9xtqwdhxkhw/edit?usp=sharing"",""ปทุมธานี!J236"")"),0.0)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IFERROR(__xludf.DUMMYFUNCTION("IMPORTRANGE(""https://docs.google.com/spreadsheets/d/1SX6NBoVAgQJ6U1MVXOaj8PK2l7WJ3RER9xtqwdhxkhw/edit?usp=sharing"",""ปทุมธานี!I237"")"),0.0)</f>
        <v>0</v>
      </c>
      <c r="J342" s="222">
        <f>IFERROR(__xludf.DUMMYFUNCTION("IMPORTRANGE(""https://docs.google.com/spreadsheets/d/1SX6NBoVAgQJ6U1MVXOaj8PK2l7WJ3RER9xtqwdhxkhw/edit?usp=sharing"",""ปทุมธานี!J237"")"),0.0)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IFERROR(__xludf.DUMMYFUNCTION("IMPORTRANGE(""https://docs.google.com/spreadsheets/d/1SX6NBoVAgQJ6U1MVXOaj8PK2l7WJ3RER9xtqwdhxkhw/edit?usp=sharing"",""ปทุมธานี!I238"")"),0.0)</f>
        <v>0</v>
      </c>
      <c r="J343" s="222">
        <f>IFERROR(__xludf.DUMMYFUNCTION("IMPORTRANGE(""https://docs.google.com/spreadsheets/d/1SX6NBoVAgQJ6U1MVXOaj8PK2l7WJ3RER9xtqwdhxkhw/edit?usp=sharing"",""ปทุมธานี!J238"")"),0.0)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IFERROR(__xludf.DUMMYFUNCTION("IMPORTRANGE(""https://docs.google.com/spreadsheets/d/1SX6NBoVAgQJ6U1MVXOaj8PK2l7WJ3RER9xtqwdhxkhw/edit?usp=sharing"",""ปทุมธานี!I239"")"),0.0)</f>
        <v>0</v>
      </c>
      <c r="J344" s="222">
        <f>IFERROR(__xludf.DUMMYFUNCTION("IMPORTRANGE(""https://docs.google.com/spreadsheets/d/1SX6NBoVAgQJ6U1MVXOaj8PK2l7WJ3RER9xtqwdhxkhw/edit?usp=sharing"",""ปทุมธานี!J239"")"),0.0)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IFERROR(__xludf.DUMMYFUNCTION("IMPORTRANGE(""https://docs.google.com/spreadsheets/d/1SX6NBoVAgQJ6U1MVXOaj8PK2l7WJ3RER9xtqwdhxkhw/edit?usp=sharing"",""ปทุมธานี!I240"")"),0.0)</f>
        <v>0</v>
      </c>
      <c r="J345" s="222">
        <f>IFERROR(__xludf.DUMMYFUNCTION("IMPORTRANGE(""https://docs.google.com/spreadsheets/d/1SX6NBoVAgQJ6U1MVXOaj8PK2l7WJ3RER9xtqwdhxkhw/edit?usp=sharing"",""ปทุมธานี!J240"")"),0.0)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IFERROR(__xludf.DUMMYFUNCTION("IMPORTRANGE(""https://docs.google.com/spreadsheets/d/1SX6NBoVAgQJ6U1MVXOaj8PK2l7WJ3RER9xtqwdhxkhw/edit?usp=sharing"",""ปทุมธานี!I241"")"),0.0)</f>
        <v>0</v>
      </c>
      <c r="J346" s="222">
        <f>IFERROR(__xludf.DUMMYFUNCTION("IMPORTRANGE(""https://docs.google.com/spreadsheets/d/1SX6NBoVAgQJ6U1MVXOaj8PK2l7WJ3RER9xtqwdhxkhw/edit?usp=sharing"",""ปทุมธานี!J241"")"),0.0)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IFERROR(__xludf.DUMMYFUNCTION("IMPORTRANGE(""https://docs.google.com/spreadsheets/d/1SX6NBoVAgQJ6U1MVXOaj8PK2l7WJ3RER9xtqwdhxkhw/edit?usp=sharing"",""ปทุมธานี!L242"")"),560890.0)</f>
        <v>560890</v>
      </c>
      <c r="M347" s="391"/>
      <c r="N347" s="391">
        <f>IFERROR(__xludf.DUMMYFUNCTION("IMPORTRANGE(""https://docs.google.com/spreadsheets/d/1SX6NBoVAgQJ6U1MVXOaj8PK2l7WJ3RER9xtqwdhxkhw/edit?usp=sharing"",""ปทุมธานี!M242"")"),195433.03)</f>
        <v>195433.03</v>
      </c>
      <c r="O347" s="391">
        <f>+IF(L347&gt;0,N347*100/L347,0)</f>
        <v>34.84337927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IFERROR(__xludf.DUMMYFUNCTION("IMPORTRANGE(""https://docs.google.com/spreadsheets/d/1SX6NBoVAgQJ6U1MVXOaj8PK2l7WJ3RER9xtqwdhxkhw/edit?usp=sharing"",""ปทุมธานี!I244"")"),12.0)</f>
        <v>12</v>
      </c>
      <c r="J349" s="404">
        <f>IFERROR(__xludf.DUMMYFUNCTION("IMPORTRANGE(""https://docs.google.com/spreadsheets/d/1SX6NBoVAgQJ6U1MVXOaj8PK2l7WJ3RER9xtqwdhxkhw/edit?usp=sharing"",""ปทุมธานี!J244"")"),0.0)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IFERROR(__xludf.DUMMYFUNCTION("IMPORTRANGE(""https://docs.google.com/spreadsheets/d/1SX6NBoVAgQJ6U1MVXOaj8PK2l7WJ3RER9xtqwdhxkhw/edit?usp=sharing"",""ปทุมธานี!L244"")"),47160.0)</f>
        <v>47160</v>
      </c>
      <c r="M349" s="406"/>
      <c r="N349" s="406">
        <f>IFERROR(__xludf.DUMMYFUNCTION("IMPORTRANGE(""https://docs.google.com/spreadsheets/d/1SX6NBoVAgQJ6U1MVXOaj8PK2l7WJ3RER9xtqwdhxkhw/edit?usp=sharing"",""ปทุมธานี!M244"")"),15660.01)</f>
        <v>15660.01</v>
      </c>
      <c r="O349" s="406">
        <f>+IF(L349&gt;0,N349*100/L349,0)</f>
        <v>33.20612807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IFERROR(__xludf.DUMMYFUNCTION("IMPORTRANGE(""https://docs.google.com/spreadsheets/d/1SX6NBoVAgQJ6U1MVXOaj8PK2l7WJ3RER9xtqwdhxkhw/edit?usp=sharing"",""ปทุมธานี!I245"")"),6.0)</f>
        <v>6</v>
      </c>
      <c r="J350" s="404">
        <f>IFERROR(__xludf.DUMMYFUNCTION("IMPORTRANGE(""https://docs.google.com/spreadsheets/d/1SX6NBoVAgQJ6U1MVXOaj8PK2l7WJ3RER9xtqwdhxkhw/edit?usp=sharing"",""ปทุมธานี!J245"")"),6.0)</f>
        <v>6</v>
      </c>
      <c r="K350" s="405">
        <f t="shared" si="105"/>
        <v>100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IFERROR(__xludf.DUMMYFUNCTION("IMPORTRANGE(""https://docs.google.com/spreadsheets/d/1SX6NBoVAgQJ6U1MVXOaj8PK2l7WJ3RER9xtqwdhxkhw/edit?usp=sharing"",""ปทุมธานี!L246"")"),0.0)</f>
        <v>0</v>
      </c>
      <c r="M351" s="197"/>
      <c r="N351" s="197">
        <f>IFERROR(__xludf.DUMMYFUNCTION("IMPORTRANGE(""https://docs.google.com/spreadsheets/d/1SX6NBoVAgQJ6U1MVXOaj8PK2l7WJ3RER9xtqwdhxkhw/edit?usp=sharing"",""ปทุมธานี!M246"")"),0.0)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IFERROR(__xludf.DUMMYFUNCTION("IMPORTRANGE(""https://docs.google.com/spreadsheets/d/1SX6NBoVAgQJ6U1MVXOaj8PK2l7WJ3RER9xtqwdhxkhw/edit?usp=sharing"",""ปทุมธานี!L247"")"),47160.0)</f>
        <v>47160</v>
      </c>
      <c r="M352" s="198"/>
      <c r="N352" s="197">
        <f>IFERROR(__xludf.DUMMYFUNCTION("IMPORTRANGE(""https://docs.google.com/spreadsheets/d/1SX6NBoVAgQJ6U1MVXOaj8PK2l7WJ3RER9xtqwdhxkhw/edit?usp=sharing"",""ปทุมธานี!M247"")"),15660.01)</f>
        <v>15660.01</v>
      </c>
      <c r="O352" s="198">
        <f t="shared" si="106"/>
        <v>33.20612807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IFERROR(__xludf.DUMMYFUNCTION("IMPORTRANGE(""https://docs.google.com/spreadsheets/d/1SX6NBoVAgQJ6U1MVXOaj8PK2l7WJ3RER9xtqwdhxkhw/edit?usp=sharing"",""ปทุมธานี!L248"")"),0.0)</f>
        <v>0</v>
      </c>
      <c r="M353" s="203"/>
      <c r="N353" s="203">
        <f>IFERROR(__xludf.DUMMYFUNCTION("IMPORTRANGE(""https://docs.google.com/spreadsheets/d/1SX6NBoVAgQJ6U1MVXOaj8PK2l7WJ3RER9xtqwdhxkhw/edit?usp=sharing"",""ปทุมธานี!M248"")"),0.0)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IFERROR(__xludf.DUMMYFUNCTION("IMPORTRANGE(""https://docs.google.com/spreadsheets/d/1SX6NBoVAgQJ6U1MVXOaj8PK2l7WJ3RER9xtqwdhxkhw/edit?usp=sharing"",""ปทุมธานี!L249"")"),47160.0)</f>
        <v>47160</v>
      </c>
      <c r="M354" s="203"/>
      <c r="N354" s="200">
        <f>IFERROR(__xludf.DUMMYFUNCTION("IMPORTRANGE(""https://docs.google.com/spreadsheets/d/1SX6NBoVAgQJ6U1MVXOaj8PK2l7WJ3RER9xtqwdhxkhw/edit?usp=sharing"",""ปทุมธานี!M249"")"),15660.01)</f>
        <v>15660.01</v>
      </c>
      <c r="O354" s="203">
        <f t="shared" si="106"/>
        <v>33.20612807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IFERROR(__xludf.DUMMYFUNCTION("IMPORTRANGE(""https://docs.google.com/spreadsheets/d/1SX6NBoVAgQJ6U1MVXOaj8PK2l7WJ3RER9xtqwdhxkhw/edit?usp=sharing"",""ปทุมธานี!M250"")"),12760.01)</f>
        <v>12760.01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IFERROR(__xludf.DUMMYFUNCTION("IMPORTRANGE(""https://docs.google.com/spreadsheets/d/1SX6NBoVAgQJ6U1MVXOaj8PK2l7WJ3RER9xtqwdhxkhw/edit?usp=sharing"",""ปทุมธานี!M251"")"),0.0)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IFERROR(__xludf.DUMMYFUNCTION("IMPORTRANGE(""https://docs.google.com/spreadsheets/d/1SX6NBoVAgQJ6U1MVXOaj8PK2l7WJ3RER9xtqwdhxkhw/edit?usp=sharing"",""ปทุมธานี!M252"")"),0.0)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IFERROR(__xludf.DUMMYFUNCTION("IMPORTRANGE(""https://docs.google.com/spreadsheets/d/1SX6NBoVAgQJ6U1MVXOaj8PK2l7WJ3RER9xtqwdhxkhw/edit?usp=sharing"",""ปทุมธานี!M253"")"),2900.0)</f>
        <v>2900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IFERROR(__xludf.DUMMYFUNCTION("IMPORTRANGE(""https://docs.google.com/spreadsheets/d/1SX6NBoVAgQJ6U1MVXOaj8PK2l7WJ3RER9xtqwdhxkhw/edit?usp=sharing"",""ปทุมธานี!J255"")"),0.0)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IFERROR(__xludf.DUMMYFUNCTION("IMPORTRANGE(""https://docs.google.com/spreadsheets/d/1SX6NBoVAgQJ6U1MVXOaj8PK2l7WJ3RER9xtqwdhxkhw/edit?usp=sharing"",""ปทุมธานี!J256"")"),1.0)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IFERROR(__xludf.DUMMYFUNCTION("IMPORTRANGE(""https://docs.google.com/spreadsheets/d/1SX6NBoVAgQJ6U1MVXOaj8PK2l7WJ3RER9xtqwdhxkhw/edit?usp=sharing"",""ปทุมธานี!J257"")"),1.0)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IFERROR(__xludf.DUMMYFUNCTION("IMPORTRANGE(""https://docs.google.com/spreadsheets/d/1SX6NBoVAgQJ6U1MVXOaj8PK2l7WJ3RER9xtqwdhxkhw/edit?usp=sharing"",""ปทุมธานี!J258"")"),1.0)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IFERROR(__xludf.DUMMYFUNCTION("IMPORTRANGE(""https://docs.google.com/spreadsheets/d/1SX6NBoVAgQJ6U1MVXOaj8PK2l7WJ3RER9xtqwdhxkhw/edit?usp=sharing"",""ปทุมธานี!J166"")"),0.0)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IFERROR(__xludf.DUMMYFUNCTION("IMPORTRANGE(""https://docs.google.com/spreadsheets/d/1SX6NBoVAgQJ6U1MVXOaj8PK2l7WJ3RER9xtqwdhxkhw/edit?usp=sharing"",""ปทุมธานี!J166"")"),0.0)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IFERROR(__xludf.DUMMYFUNCTION("IMPORTRANGE(""https://docs.google.com/spreadsheets/d/1SX6NBoVAgQJ6U1MVXOaj8PK2l7WJ3RER9xtqwdhxkhw/edit?usp=sharing"",""ปทุมธานี!J166"")"),0.0)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IFERROR(__xludf.DUMMYFUNCTION("IMPORTRANGE(""https://docs.google.com/spreadsheets/d/1SX6NBoVAgQJ6U1MVXOaj8PK2l7WJ3RER9xtqwdhxkhw/edit?usp=sharing"",""ปทุมธานี!J166"")"),0.0)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IFERROR(__xludf.DUMMYFUNCTION("IMPORTRANGE(""https://docs.google.com/spreadsheets/d/1SX6NBoVAgQJ6U1MVXOaj8PK2l7WJ3RER9xtqwdhxkhw/edit?usp=sharing"",""ปทุมธานี!I263"")"),6.0)</f>
        <v>6</v>
      </c>
      <c r="J368" s="222">
        <f>IFERROR(__xludf.DUMMYFUNCTION("IMPORTRANGE(""https://docs.google.com/spreadsheets/d/1SX6NBoVAgQJ6U1MVXOaj8PK2l7WJ3RER9xtqwdhxkhw/edit?usp=sharing"",""ปทุมธานี!J263"")"),6.0)</f>
        <v>6</v>
      </c>
      <c r="K368" s="196">
        <f t="shared" si="107"/>
        <v>100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IFERROR(__xludf.DUMMYFUNCTION("IMPORTRANGE(""https://docs.google.com/spreadsheets/d/1SX6NBoVAgQJ6U1MVXOaj8PK2l7WJ3RER9xtqwdhxkhw/edit?usp=sharing"",""ปทุมธานี!I164"")"),0.0)</f>
        <v>0</v>
      </c>
      <c r="J369" s="238">
        <f>IFERROR(__xludf.DUMMYFUNCTION("IMPORTRANGE(""https://docs.google.com/spreadsheets/d/1SX6NBoVAgQJ6U1MVXOaj8PK2l7WJ3RER9xtqwdhxkhw/edit?usp=sharing"",""ปทุมธานี!J164"")"),0.0)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IFERROR(__xludf.DUMMYFUNCTION("IMPORTRANGE(""https://docs.google.com/spreadsheets/d/1SX6NBoVAgQJ6U1MVXOaj8PK2l7WJ3RER9xtqwdhxkhw/edit?usp=sharing"",""ปทุมธานี!I265"")"),6.0)</f>
        <v>6</v>
      </c>
      <c r="J370" s="238">
        <f>IFERROR(__xludf.DUMMYFUNCTION("IMPORTRANGE(""https://docs.google.com/spreadsheets/d/1SX6NBoVAgQJ6U1MVXOaj8PK2l7WJ3RER9xtqwdhxkhw/edit?usp=sharing"",""ปทุมธานี!J265"")"),0.0)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IFERROR(__xludf.DUMMYFUNCTION("IMPORTRANGE(""https://docs.google.com/spreadsheets/d/1SX6NBoVAgQJ6U1MVXOaj8PK2l7WJ3RER9xtqwdhxkhw/edit?usp=sharing"",""ปทุมธานี!I164"")"),0.0)</f>
        <v>0</v>
      </c>
      <c r="J371" s="223">
        <f>IFERROR(__xludf.DUMMYFUNCTION("IMPORTRANGE(""https://docs.google.com/spreadsheets/d/1SX6NBoVAgQJ6U1MVXOaj8PK2l7WJ3RER9xtqwdhxkhw/edit?usp=sharing"",""ปทุมธานี!J164"")"),0.0)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IFERROR(__xludf.DUMMYFUNCTION("IMPORTRANGE(""https://docs.google.com/spreadsheets/d/1SX6NBoVAgQJ6U1MVXOaj8PK2l7WJ3RER9xtqwdhxkhw/edit?usp=sharing"",""ปทุมธานี!I267"")"),6.0)</f>
        <v>6</v>
      </c>
      <c r="J372" s="223">
        <f>IFERROR(__xludf.DUMMYFUNCTION("IMPORTRANGE(""https://docs.google.com/spreadsheets/d/1SX6NBoVAgQJ6U1MVXOaj8PK2l7WJ3RER9xtqwdhxkhw/edit?usp=sharing"",""ปทุมธานี!J267"")"),6.0)</f>
        <v>6</v>
      </c>
      <c r="K372" s="196">
        <f t="shared" si="107"/>
        <v>100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IFERROR(__xludf.DUMMYFUNCTION("IMPORTRANGE(""https://docs.google.com/spreadsheets/d/1SX6NBoVAgQJ6U1MVXOaj8PK2l7WJ3RER9xtqwdhxkhw/edit?usp=sharing"",""ปทุมธานี!I164"")"),0.0)</f>
        <v>0</v>
      </c>
      <c r="J373" s="238">
        <f>IFERROR(__xludf.DUMMYFUNCTION("IMPORTRANGE(""https://docs.google.com/spreadsheets/d/1SX6NBoVAgQJ6U1MVXOaj8PK2l7WJ3RER9xtqwdhxkhw/edit?usp=sharing"",""ปทุมธานี!J164"")"),0.0)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IFERROR(__xludf.DUMMYFUNCTION("IMPORTRANGE(""https://docs.google.com/spreadsheets/d/1SX6NBoVAgQJ6U1MVXOaj8PK2l7WJ3RER9xtqwdhxkhw/edit?usp=sharing"",""ปทุมธานี!I164"")"),0.0)</f>
        <v>0</v>
      </c>
      <c r="J374" s="222">
        <f>IFERROR(__xludf.DUMMYFUNCTION("IMPORTRANGE(""https://docs.google.com/spreadsheets/d/1SX6NBoVAgQJ6U1MVXOaj8PK2l7WJ3RER9xtqwdhxkhw/edit?usp=sharing"",""ปทุมธานี!J164"")"),0.0)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IFERROR(__xludf.DUMMYFUNCTION("IMPORTRANGE(""https://docs.google.com/spreadsheets/d/1SX6NBoVAgQJ6U1MVXOaj8PK2l7WJ3RER9xtqwdhxkhw/edit?usp=sharing"",""ปทุมธานี!I270"")"),12.0)</f>
        <v>12</v>
      </c>
      <c r="J375" s="222">
        <f>IFERROR(__xludf.DUMMYFUNCTION("IMPORTRANGE(""https://docs.google.com/spreadsheets/d/1SX6NBoVAgQJ6U1MVXOaj8PK2l7WJ3RER9xtqwdhxkhw/edit?usp=sharing"",""ปทุมธานี!J270"")"),0.0)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IFERROR(__xludf.DUMMYFUNCTION("IMPORTRANGE(""https://docs.google.com/spreadsheets/d/1SX6NBoVAgQJ6U1MVXOaj8PK2l7WJ3RER9xtqwdhxkhw/edit?usp=sharing"",""ปทุมธานี!I271"")"),12.0)</f>
        <v>12</v>
      </c>
      <c r="J376" s="223">
        <f>IFERROR(__xludf.DUMMYFUNCTION("IMPORTRANGE(""https://docs.google.com/spreadsheets/d/1SX6NBoVAgQJ6U1MVXOaj8PK2l7WJ3RER9xtqwdhxkhw/edit?usp=sharing"",""ปทุมธานี!J271"")"),0.0)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IFERROR(__xludf.DUMMYFUNCTION("IMPORTRANGE(""https://docs.google.com/spreadsheets/d/1SX6NBoVAgQJ6U1MVXOaj8PK2l7WJ3RER9xtqwdhxkhw/edit?usp=sharing"",""ปทุมธานี!I272"")"),0.0)</f>
        <v>0</v>
      </c>
      <c r="J377" s="238">
        <f>IFERROR(__xludf.DUMMYFUNCTION("IMPORTRANGE(""https://docs.google.com/spreadsheets/d/1SX6NBoVAgQJ6U1MVXOaj8PK2l7WJ3RER9xtqwdhxkhw/edit?usp=sharing"",""ปทุมธานี!J272"")"),0.0)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IFERROR(__xludf.DUMMYFUNCTION("IMPORTRANGE(""https://docs.google.com/spreadsheets/d/1SX6NBoVAgQJ6U1MVXOaj8PK2l7WJ3RER9xtqwdhxkhw/edit?usp=sharing"",""ปทุมธานี!J273"")"),0.0)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IFERROR(__xludf.DUMMYFUNCTION("IMPORTRANGE(""https://docs.google.com/spreadsheets/d/1SX6NBoVAgQJ6U1MVXOaj8PK2l7WJ3RER9xtqwdhxkhw/edit?usp=sharing"",""ปทุมธานี!J274"")"),0.0)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IFERROR(__xludf.DUMMYFUNCTION("IMPORTRANGE(""https://docs.google.com/spreadsheets/d/1SX6NBoVAgQJ6U1MVXOaj8PK2l7WJ3RER9xtqwdhxkhw/edit?usp=sharing"",""ปทุมธานี!I275"")"),50.0)</f>
        <v>50</v>
      </c>
      <c r="J380" s="404">
        <f>IFERROR(__xludf.DUMMYFUNCTION("IMPORTRANGE(""https://docs.google.com/spreadsheets/d/1SX6NBoVAgQJ6U1MVXOaj8PK2l7WJ3RER9xtqwdhxkhw/edit?usp=sharing"",""ปทุมธานี!J275"")"),0.0)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IFERROR(__xludf.DUMMYFUNCTION("IMPORTRANGE(""https://docs.google.com/spreadsheets/d/1SX6NBoVAgQJ6U1MVXOaj8PK2l7WJ3RER9xtqwdhxkhw/edit?usp=sharing"",""ปทุมธานี!L275"")"),87710.0)</f>
        <v>87710</v>
      </c>
      <c r="M380" s="406"/>
      <c r="N380" s="406">
        <f>IFERROR(__xludf.DUMMYFUNCTION("IMPORTRANGE(""https://docs.google.com/spreadsheets/d/1SX6NBoVAgQJ6U1MVXOaj8PK2l7WJ3RER9xtqwdhxkhw/edit?usp=sharing"",""ปทุมธานี!M275"")"),46559.0)</f>
        <v>46559</v>
      </c>
      <c r="O380" s="406">
        <f>+IF(L380&gt;0,N380*100/L380,0)</f>
        <v>53.08288679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IFERROR(__xludf.DUMMYFUNCTION("IMPORTRANGE(""https://docs.google.com/spreadsheets/d/1SX6NBoVAgQJ6U1MVXOaj8PK2l7WJ3RER9xtqwdhxkhw/edit?usp=sharing"",""ปทุมธานี!I276"")"),5.0)</f>
        <v>5</v>
      </c>
      <c r="J381" s="404">
        <f>IFERROR(__xludf.DUMMYFUNCTION("IMPORTRANGE(""https://docs.google.com/spreadsheets/d/1SX6NBoVAgQJ6U1MVXOaj8PK2l7WJ3RER9xtqwdhxkhw/edit?usp=sharing"",""ปทุมธานี!J276"")"),10.0)</f>
        <v>10</v>
      </c>
      <c r="K381" s="405">
        <f t="shared" si="109"/>
        <v>200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IFERROR(__xludf.DUMMYFUNCTION("IMPORTRANGE(""https://docs.google.com/spreadsheets/d/1SX6NBoVAgQJ6U1MVXOaj8PK2l7WJ3RER9xtqwdhxkhw/edit?usp=sharing"",""ปทุมธานี!L277"")"),0.0)</f>
        <v>0</v>
      </c>
      <c r="M382" s="197"/>
      <c r="N382" s="197">
        <f>IFERROR(__xludf.DUMMYFUNCTION("IMPORTRANGE(""https://docs.google.com/spreadsheets/d/1SX6NBoVAgQJ6U1MVXOaj8PK2l7WJ3RER9xtqwdhxkhw/edit?usp=sharing"",""ปทุมธานี!M277"")"),0.0)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IFERROR(__xludf.DUMMYFUNCTION("IMPORTRANGE(""https://docs.google.com/spreadsheets/d/1SX6NBoVAgQJ6U1MVXOaj8PK2l7WJ3RER9xtqwdhxkhw/edit?usp=sharing"",""ปทุมธานี!L278"")"),87710.0)</f>
        <v>87710</v>
      </c>
      <c r="M383" s="198"/>
      <c r="N383" s="198">
        <f>IFERROR(__xludf.DUMMYFUNCTION("IMPORTRANGE(""https://docs.google.com/spreadsheets/d/1SX6NBoVAgQJ6U1MVXOaj8PK2l7WJ3RER9xtqwdhxkhw/edit?usp=sharing"",""ปทุมธานี!M278"")"),46559.0)</f>
        <v>46559</v>
      </c>
      <c r="O383" s="198">
        <f t="shared" si="110"/>
        <v>53.08288679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IFERROR(__xludf.DUMMYFUNCTION("IMPORTRANGE(""https://docs.google.com/spreadsheets/d/1SX6NBoVAgQJ6U1MVXOaj8PK2l7WJ3RER9xtqwdhxkhw/edit?usp=sharing"",""ปทุมธานี!L279"")"),0.0)</f>
        <v>0</v>
      </c>
      <c r="M384" s="203"/>
      <c r="N384" s="203">
        <f>IFERROR(__xludf.DUMMYFUNCTION("IMPORTRANGE(""https://docs.google.com/spreadsheets/d/1SX6NBoVAgQJ6U1MVXOaj8PK2l7WJ3RER9xtqwdhxkhw/edit?usp=sharing"",""ปทุมธานี!M279"")"),0.0)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IFERROR(__xludf.DUMMYFUNCTION("IMPORTRANGE(""https://docs.google.com/spreadsheets/d/1SX6NBoVAgQJ6U1MVXOaj8PK2l7WJ3RER9xtqwdhxkhw/edit?usp=sharing"",""ปทุมธานี!L280"")"),87710.0)</f>
        <v>87710</v>
      </c>
      <c r="M385" s="203"/>
      <c r="N385" s="200">
        <f>IFERROR(__xludf.DUMMYFUNCTION("IMPORTRANGE(""https://docs.google.com/spreadsheets/d/1SX6NBoVAgQJ6U1MVXOaj8PK2l7WJ3RER9xtqwdhxkhw/edit?usp=sharing"",""ปทุมธานี!M280"")"),46559.0)</f>
        <v>46559</v>
      </c>
      <c r="O385" s="203">
        <f t="shared" si="110"/>
        <v>53.08288679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IFERROR(__xludf.DUMMYFUNCTION("IMPORTRANGE(""https://docs.google.com/spreadsheets/d/1SX6NBoVAgQJ6U1MVXOaj8PK2l7WJ3RER9xtqwdhxkhw/edit?usp=sharing"",""ปทุมธานี!M281"")"),34409.0)</f>
        <v>34409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IFERROR(__xludf.DUMMYFUNCTION("IMPORTRANGE(""https://docs.google.com/spreadsheets/d/1SX6NBoVAgQJ6U1MVXOaj8PK2l7WJ3RER9xtqwdhxkhw/edit?usp=sharing"",""ปทุมธานี!M282"")"),0.0)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IFERROR(__xludf.DUMMYFUNCTION("IMPORTRANGE(""https://docs.google.com/spreadsheets/d/1SX6NBoVAgQJ6U1MVXOaj8PK2l7WJ3RER9xtqwdhxkhw/edit?usp=sharing"",""ปทุมธานี!M283"")"),0.0)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IFERROR(__xludf.DUMMYFUNCTION("IMPORTRANGE(""https://docs.google.com/spreadsheets/d/1SX6NBoVAgQJ6U1MVXOaj8PK2l7WJ3RER9xtqwdhxkhw/edit?usp=sharing"",""ปทุมธานี!M284"")"),12150.0)</f>
        <v>12150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IFERROR(__xludf.DUMMYFUNCTION("IMPORTRANGE(""https://docs.google.com/spreadsheets/d/1SX6NBoVAgQJ6U1MVXOaj8PK2l7WJ3RER9xtqwdhxkhw/edit?usp=sharing"",""ปทุมธานี!J286"")"),0.0)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IFERROR(__xludf.DUMMYFUNCTION("IMPORTRANGE(""https://docs.google.com/spreadsheets/d/1SX6NBoVAgQJ6U1MVXOaj8PK2l7WJ3RER9xtqwdhxkhw/edit?usp=sharing"",""ปทุมธานี!J287"")"),1.0)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IFERROR(__xludf.DUMMYFUNCTION("IMPORTRANGE(""https://docs.google.com/spreadsheets/d/1SX6NBoVAgQJ6U1MVXOaj8PK2l7WJ3RER9xtqwdhxkhw/edit?usp=sharing"",""ปทุมธานี!J288"")"),1.0)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IFERROR(__xludf.DUMMYFUNCTION("IMPORTRANGE(""https://docs.google.com/spreadsheets/d/1SX6NBoVAgQJ6U1MVXOaj8PK2l7WJ3RER9xtqwdhxkhw/edit?usp=sharing"",""ปทุมธานี!J289"")"),1.0)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IFERROR(__xludf.DUMMYFUNCTION("IMPORTRANGE(""https://docs.google.com/spreadsheets/d/1SX6NBoVAgQJ6U1MVXOaj8PK2l7WJ3RER9xtqwdhxkhw/edit?usp=sharing"",""ปทุมธานี!I291"")"),5.0)</f>
        <v>5</v>
      </c>
      <c r="J396" s="232">
        <f>IFERROR(__xludf.DUMMYFUNCTION("IMPORTRANGE(""https://docs.google.com/spreadsheets/d/1SX6NBoVAgQJ6U1MVXOaj8PK2l7WJ3RER9xtqwdhxkhw/edit?usp=sharing"",""ปทุมธานี!J291"")"),10.0)</f>
        <v>10</v>
      </c>
      <c r="K396" s="196">
        <f t="shared" ref="K396:K398" si="111">IF(I396&gt;0,J396*100/I396,0)</f>
        <v>200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IFERROR(__xludf.DUMMYFUNCTION("IMPORTRANGE(""https://docs.google.com/spreadsheets/d/1SX6NBoVAgQJ6U1MVXOaj8PK2l7WJ3RER9xtqwdhxkhw/edit?usp=sharing"",""ปทุมธานี!I292"")"),50.0)</f>
        <v>50</v>
      </c>
      <c r="J397" s="232">
        <f>IFERROR(__xludf.DUMMYFUNCTION("IMPORTRANGE(""https://docs.google.com/spreadsheets/d/1SX6NBoVAgQJ6U1MVXOaj8PK2l7WJ3RER9xtqwdhxkhw/edit?usp=sharing"",""ปทุมธานี!J292"")"),0.0)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IFERROR(__xludf.DUMMYFUNCTION("IMPORTRANGE(""https://docs.google.com/spreadsheets/d/1SX6NBoVAgQJ6U1MVXOaj8PK2l7WJ3RER9xtqwdhxkhw/edit?usp=sharing"",""ปทุมธานี!I293"")"),5.0)</f>
        <v>5</v>
      </c>
      <c r="J398" s="232">
        <f>IFERROR(__xludf.DUMMYFUNCTION("IMPORTRANGE(""https://docs.google.com/spreadsheets/d/1SX6NBoVAgQJ6U1MVXOaj8PK2l7WJ3RER9xtqwdhxkhw/edit?usp=sharing"",""ปทุมธานี!J293"")"),0.0)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IFERROR(__xludf.DUMMYFUNCTION("IMPORTRANGE(""https://docs.google.com/spreadsheets/d/1SX6NBoVAgQJ6U1MVXOaj8PK2l7WJ3RER9xtqwdhxkhw/edit?usp=sharing"",""ปทุมธานี!J294"")"),0.0)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IFERROR(__xludf.DUMMYFUNCTION("IMPORTRANGE(""https://docs.google.com/spreadsheets/d/1SX6NBoVAgQJ6U1MVXOaj8PK2l7WJ3RER9xtqwdhxkhw/edit?usp=sharing"",""ปทุมธานี!J295"")"),0.0)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IFERROR(__xludf.DUMMYFUNCTION("IMPORTRANGE(""https://docs.google.com/spreadsheets/d/1SX6NBoVAgQJ6U1MVXOaj8PK2l7WJ3RER9xtqwdhxkhw/edit?usp=sharing"",""ปทุมธานี!I296"")"),135.0)</f>
        <v>135</v>
      </c>
      <c r="J401" s="404">
        <f>IFERROR(__xludf.DUMMYFUNCTION("IMPORTRANGE(""https://docs.google.com/spreadsheets/d/1SX6NBoVAgQJ6U1MVXOaj8PK2l7WJ3RER9xtqwdhxkhw/edit?usp=sharing"",""ปทุมธานี!J296"")"),0.0)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IFERROR(__xludf.DUMMYFUNCTION("IMPORTRANGE(""https://docs.google.com/spreadsheets/d/1SX6NBoVAgQJ6U1MVXOaj8PK2l7WJ3RER9xtqwdhxkhw/edit?usp=sharing"",""ปทุมธานี!L296"")"),187300.0)</f>
        <v>187300</v>
      </c>
      <c r="M401" s="406"/>
      <c r="N401" s="406">
        <f>IFERROR(__xludf.DUMMYFUNCTION("IMPORTRANGE(""https://docs.google.com/spreadsheets/d/1SX6NBoVAgQJ6U1MVXOaj8PK2l7WJ3RER9xtqwdhxkhw/edit?usp=sharing"",""ปทุมธานี!M296"")"),48570.0)</f>
        <v>48570</v>
      </c>
      <c r="O401" s="406">
        <f>+IF(L401&gt;0,N401*100/L401,0)</f>
        <v>25.93166044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IFERROR(__xludf.DUMMYFUNCTION("IMPORTRANGE(""https://docs.google.com/spreadsheets/d/1SX6NBoVAgQJ6U1MVXOaj8PK2l7WJ3RER9xtqwdhxkhw/edit?usp=sharing"",""ปทุมธานี!I297"")"),45.0)</f>
        <v>45</v>
      </c>
      <c r="J402" s="404">
        <f>IFERROR(__xludf.DUMMYFUNCTION("IMPORTRANGE(""https://docs.google.com/spreadsheets/d/1SX6NBoVAgQJ6U1MVXOaj8PK2l7WJ3RER9xtqwdhxkhw/edit?usp=sharing"",""ปทุมธานี!J297"")"),10.0)</f>
        <v>10</v>
      </c>
      <c r="K402" s="405">
        <f t="shared" si="112"/>
        <v>22.22222222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IFERROR(__xludf.DUMMYFUNCTION("IMPORTRANGE(""https://docs.google.com/spreadsheets/d/1SX6NBoVAgQJ6U1MVXOaj8PK2l7WJ3RER9xtqwdhxkhw/edit?usp=sharing"",""ปทุมธานี!L298"")"),0.0)</f>
        <v>0</v>
      </c>
      <c r="M403" s="197"/>
      <c r="N403" s="203">
        <f>IFERROR(__xludf.DUMMYFUNCTION("IMPORTRANGE(""https://docs.google.com/spreadsheets/d/1SX6NBoVAgQJ6U1MVXOaj8PK2l7WJ3RER9xtqwdhxkhw/edit?usp=sharing"",""ปทุมธานี!M298"")"),0.0)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IFERROR(__xludf.DUMMYFUNCTION("IMPORTRANGE(""https://docs.google.com/spreadsheets/d/1SX6NBoVAgQJ6U1MVXOaj8PK2l7WJ3RER9xtqwdhxkhw/edit?usp=sharing"",""ปทุมธานี!L299"")"),187300.0)</f>
        <v>187300</v>
      </c>
      <c r="M404" s="198"/>
      <c r="N404" s="203">
        <f>IFERROR(__xludf.DUMMYFUNCTION("IMPORTRANGE(""https://docs.google.com/spreadsheets/d/1SX6NBoVAgQJ6U1MVXOaj8PK2l7WJ3RER9xtqwdhxkhw/edit?usp=sharing"",""ปทุมธานี!M299"")"),48570.0)</f>
        <v>48570</v>
      </c>
      <c r="O404" s="203">
        <f t="shared" si="113"/>
        <v>25.93166044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IFERROR(__xludf.DUMMYFUNCTION("IMPORTRANGE(""https://docs.google.com/spreadsheets/d/1SX6NBoVAgQJ6U1MVXOaj8PK2l7WJ3RER9xtqwdhxkhw/edit?usp=sharing"",""ปทุมธานี!L300"")"),0.0)</f>
        <v>0</v>
      </c>
      <c r="M405" s="203"/>
      <c r="N405" s="203">
        <f>IFERROR(__xludf.DUMMYFUNCTION("IMPORTRANGE(""https://docs.google.com/spreadsheets/d/1SX6NBoVAgQJ6U1MVXOaj8PK2l7WJ3RER9xtqwdhxkhw/edit?usp=sharing"",""ปทุมธานี!M300"")"),0.0)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IFERROR(__xludf.DUMMYFUNCTION("IMPORTRANGE(""https://docs.google.com/spreadsheets/d/1SX6NBoVAgQJ6U1MVXOaj8PK2l7WJ3RER9xtqwdhxkhw/edit?usp=sharing"",""ปทุมธานี!L301"")"),187300.0)</f>
        <v>187300</v>
      </c>
      <c r="M406" s="203"/>
      <c r="N406" s="203">
        <f>IFERROR(__xludf.DUMMYFUNCTION("IMPORTRANGE(""https://docs.google.com/spreadsheets/d/1SX6NBoVAgQJ6U1MVXOaj8PK2l7WJ3RER9xtqwdhxkhw/edit?usp=sharing"",""ปทุมธานี!M301"")"),48570.0)</f>
        <v>48570</v>
      </c>
      <c r="O406" s="203">
        <f t="shared" si="113"/>
        <v>25.93166044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IFERROR(__xludf.DUMMYFUNCTION("IMPORTRANGE(""https://docs.google.com/spreadsheets/d/1SX6NBoVAgQJ6U1MVXOaj8PK2l7WJ3RER9xtqwdhxkhw/edit?usp=sharing"",""ปทุมธานี!M302"")"),47570.0)</f>
        <v>47570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IFERROR(__xludf.DUMMYFUNCTION("IMPORTRANGE(""https://docs.google.com/spreadsheets/d/1SX6NBoVAgQJ6U1MVXOaj8PK2l7WJ3RER9xtqwdhxkhw/edit?usp=sharing"",""ปทุมธานี!M303"")"),0.0)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IFERROR(__xludf.DUMMYFUNCTION("IMPORTRANGE(""https://docs.google.com/spreadsheets/d/1SX6NBoVAgQJ6U1MVXOaj8PK2l7WJ3RER9xtqwdhxkhw/edit?usp=sharing"",""ปทุมธานี!M304"")"),0.0)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IFERROR(__xludf.DUMMYFUNCTION("IMPORTRANGE(""https://docs.google.com/spreadsheets/d/1SX6NBoVAgQJ6U1MVXOaj8PK2l7WJ3RER9xtqwdhxkhw/edit?usp=sharing"",""ปทุมธานี!M305"")"),1000.0)</f>
        <v>1000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IFERROR(__xludf.DUMMYFUNCTION("IMPORTRANGE(""https://docs.google.com/spreadsheets/d/1SX6NBoVAgQJ6U1MVXOaj8PK2l7WJ3RER9xtqwdhxkhw/edit?usp=sharing"",""ปทุมธานี!J307"")"),1.0)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IFERROR(__xludf.DUMMYFUNCTION("IMPORTRANGE(""https://docs.google.com/spreadsheets/d/1SX6NBoVAgQJ6U1MVXOaj8PK2l7WJ3RER9xtqwdhxkhw/edit?usp=sharing"",""ปทุมธานี!J308"")"),0.0)</f>
        <v>0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IFERROR(__xludf.DUMMYFUNCTION("IMPORTRANGE(""https://docs.google.com/spreadsheets/d/1SX6NBoVAgQJ6U1MVXOaj8PK2l7WJ3RER9xtqwdhxkhw/edit?usp=sharing"",""ปทุมธานี!J309"")"),0.0)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IFERROR(__xludf.DUMMYFUNCTION("IMPORTRANGE(""https://docs.google.com/spreadsheets/d/1SX6NBoVAgQJ6U1MVXOaj8PK2l7WJ3RER9xtqwdhxkhw/edit?usp=sharing"",""ปทุมธานี!J310"")"),0.0)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IFERROR(__xludf.DUMMYFUNCTION("IMPORTRANGE(""https://docs.google.com/spreadsheets/d/1SX6NBoVAgQJ6U1MVXOaj8PK2l7WJ3RER9xtqwdhxkhw/edit?usp=sharing"",""ปทุมธานี!I311"")"),45.0)</f>
        <v>45</v>
      </c>
      <c r="J416" s="235">
        <f>IFERROR(__xludf.DUMMYFUNCTION("IMPORTRANGE(""https://docs.google.com/spreadsheets/d/1SX6NBoVAgQJ6U1MVXOaj8PK2l7WJ3RER9xtqwdhxkhw/edit?usp=sharing"",""ปทุมธานี!J311"")"),10.0)</f>
        <v>10</v>
      </c>
      <c r="K416" s="236">
        <f t="shared" ref="K416:K432" si="114">IF(I416&gt;0,J416*100/I416,0)</f>
        <v>22.22222222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IFERROR(__xludf.DUMMYFUNCTION("IMPORTRANGE(""https://docs.google.com/spreadsheets/d/1SX6NBoVAgQJ6U1MVXOaj8PK2l7WJ3RER9xtqwdhxkhw/edit?usp=sharing"",""ปทุมธานี!I312"")"),10.0)</f>
        <v>10</v>
      </c>
      <c r="J417" s="425">
        <f>IFERROR(__xludf.DUMMYFUNCTION("IMPORTRANGE(""https://docs.google.com/spreadsheets/d/1SX6NBoVAgQJ6U1MVXOaj8PK2l7WJ3RER9xtqwdhxkhw/edit?usp=sharing"",""ปทุมธานี!J312"")"),10.0)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IFERROR(__xludf.DUMMYFUNCTION("IMPORTRANGE(""https://docs.google.com/spreadsheets/d/1SX6NBoVAgQJ6U1MVXOaj8PK2l7WJ3RER9xtqwdhxkhw/edit?usp=sharing"",""ปทุมธานี!I313"")"),30.0)</f>
        <v>30</v>
      </c>
      <c r="J418" s="426">
        <f>IFERROR(__xludf.DUMMYFUNCTION("IMPORTRANGE(""https://docs.google.com/spreadsheets/d/1SX6NBoVAgQJ6U1MVXOaj8PK2l7WJ3RER9xtqwdhxkhw/edit?usp=sharing"",""ปทุมธานี!J313"")"),0.0)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IFERROR(__xludf.DUMMYFUNCTION("IMPORTRANGE(""https://docs.google.com/spreadsheets/d/1SX6NBoVAgQJ6U1MVXOaj8PK2l7WJ3RER9xtqwdhxkhw/edit?usp=sharing"",""ปทุมธานี!I314"")"),10.0)</f>
        <v>10</v>
      </c>
      <c r="J419" s="427">
        <f>IFERROR(__xludf.DUMMYFUNCTION("IMPORTRANGE(""https://docs.google.com/spreadsheets/d/1SX6NBoVAgQJ6U1MVXOaj8PK2l7WJ3RER9xtqwdhxkhw/edit?usp=sharing"",""ปทุมธานี!J314"")"),10.0)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IFERROR(__xludf.DUMMYFUNCTION("IMPORTRANGE(""https://docs.google.com/spreadsheets/d/1SX6NBoVAgQJ6U1MVXOaj8PK2l7WJ3RER9xtqwdhxkhw/edit?usp=sharing"",""ปทุมธานี!I315"")"),10.0)</f>
        <v>10</v>
      </c>
      <c r="J420" s="427">
        <f>IFERROR(__xludf.DUMMYFUNCTION("IMPORTRANGE(""https://docs.google.com/spreadsheets/d/1SX6NBoVAgQJ6U1MVXOaj8PK2l7WJ3RER9xtqwdhxkhw/edit?usp=sharing"",""ปทุมธานี!J315"")"),10.0)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IFERROR(__xludf.DUMMYFUNCTION("IMPORTRANGE(""https://docs.google.com/spreadsheets/d/1SX6NBoVAgQJ6U1MVXOaj8PK2l7WJ3RER9xtqwdhxkhw/edit?usp=sharing"",""ปทุมธานี!I316"")"),25.0)</f>
        <v>25</v>
      </c>
      <c r="J421" s="425">
        <f>IFERROR(__xludf.DUMMYFUNCTION("IMPORTRANGE(""https://docs.google.com/spreadsheets/d/1SX6NBoVAgQJ6U1MVXOaj8PK2l7WJ3RER9xtqwdhxkhw/edit?usp=sharing"",""ปทุมธานี!J316"")"),0.0)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IFERROR(__xludf.DUMMYFUNCTION("IMPORTRANGE(""https://docs.google.com/spreadsheets/d/1SX6NBoVAgQJ6U1MVXOaj8PK2l7WJ3RER9xtqwdhxkhw/edit?usp=sharing"",""ปทุมธานี!I317"")"),75.0)</f>
        <v>75</v>
      </c>
      <c r="J422" s="426">
        <f>IFERROR(__xludf.DUMMYFUNCTION("IMPORTRANGE(""https://docs.google.com/spreadsheets/d/1SX6NBoVAgQJ6U1MVXOaj8PK2l7WJ3RER9xtqwdhxkhw/edit?usp=sharing"",""ปทุมธานี!J317"")"),0.0)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IFERROR(__xludf.DUMMYFUNCTION("IMPORTRANGE(""https://docs.google.com/spreadsheets/d/1SX6NBoVAgQJ6U1MVXOaj8PK2l7WJ3RER9xtqwdhxkhw/edit?usp=sharing"",""ปทุมธานี!I318"")"),25.0)</f>
        <v>25</v>
      </c>
      <c r="J423" s="427">
        <f>IFERROR(__xludf.DUMMYFUNCTION("IMPORTRANGE(""https://docs.google.com/spreadsheets/d/1SX6NBoVAgQJ6U1MVXOaj8PK2l7WJ3RER9xtqwdhxkhw/edit?usp=sharing"",""ปทุมธานี!J318"")"),0.0)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IFERROR(__xludf.DUMMYFUNCTION("IMPORTRANGE(""https://docs.google.com/spreadsheets/d/1SX6NBoVAgQJ6U1MVXOaj8PK2l7WJ3RER9xtqwdhxkhw/edit?usp=sharing"",""ปทุมธานี!I319"")"),25.0)</f>
        <v>25</v>
      </c>
      <c r="J424" s="427">
        <f>IFERROR(__xludf.DUMMYFUNCTION("IMPORTRANGE(""https://docs.google.com/spreadsheets/d/1SX6NBoVAgQJ6U1MVXOaj8PK2l7WJ3RER9xtqwdhxkhw/edit?usp=sharing"",""ปทุมธานี!J319"")"),0.0)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IFERROR(__xludf.DUMMYFUNCTION("IMPORTRANGE(""https://docs.google.com/spreadsheets/d/1SX6NBoVAgQJ6U1MVXOaj8PK2l7WJ3RER9xtqwdhxkhw/edit?usp=sharing"",""ปทุมธานี!I320"")"),25.0)</f>
        <v>25</v>
      </c>
      <c r="J425" s="427">
        <f>IFERROR(__xludf.DUMMYFUNCTION("IMPORTRANGE(""https://docs.google.com/spreadsheets/d/1SX6NBoVAgQJ6U1MVXOaj8PK2l7WJ3RER9xtqwdhxkhw/edit?usp=sharing"",""ปทุมธานี!J320"")"),0.0)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IFERROR(__xludf.DUMMYFUNCTION("IMPORTRANGE(""https://docs.google.com/spreadsheets/d/1SX6NBoVAgQJ6U1MVXOaj8PK2l7WJ3RER9xtqwdhxkhw/edit?usp=sharing"",""ปทุมธานี!I321"")"),10.0)</f>
        <v>10</v>
      </c>
      <c r="J426" s="425">
        <f>IFERROR(__xludf.DUMMYFUNCTION("IMPORTRANGE(""https://docs.google.com/spreadsheets/d/1SX6NBoVAgQJ6U1MVXOaj8PK2l7WJ3RER9xtqwdhxkhw/edit?usp=sharing"",""ปทุมธานี!J321"")"),0.0)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IFERROR(__xludf.DUMMYFUNCTION("IMPORTRANGE(""https://docs.google.com/spreadsheets/d/1SX6NBoVAgQJ6U1MVXOaj8PK2l7WJ3RER9xtqwdhxkhw/edit?usp=sharing"",""ปทุมธานี!I322"")"),30.0)</f>
        <v>30</v>
      </c>
      <c r="J427" s="426">
        <f>IFERROR(__xludf.DUMMYFUNCTION("IMPORTRANGE(""https://docs.google.com/spreadsheets/d/1SX6NBoVAgQJ6U1MVXOaj8PK2l7WJ3RER9xtqwdhxkhw/edit?usp=sharing"",""ปทุมธานี!J322"")"),0.0)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IFERROR(__xludf.DUMMYFUNCTION("IMPORTRANGE(""https://docs.google.com/spreadsheets/d/1SX6NBoVAgQJ6U1MVXOaj8PK2l7WJ3RER9xtqwdhxkhw/edit?usp=sharing"",""ปทุมธานี!I323"")"),10.0)</f>
        <v>10</v>
      </c>
      <c r="J428" s="427">
        <f>IFERROR(__xludf.DUMMYFUNCTION("IMPORTRANGE(""https://docs.google.com/spreadsheets/d/1SX6NBoVAgQJ6U1MVXOaj8PK2l7WJ3RER9xtqwdhxkhw/edit?usp=sharing"",""ปทุมธานี!J323"")"),0.0)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IFERROR(__xludf.DUMMYFUNCTION("IMPORTRANGE(""https://docs.google.com/spreadsheets/d/1SX6NBoVAgQJ6U1MVXOaj8PK2l7WJ3RER9xtqwdhxkhw/edit?usp=sharing"",""ปทุมธานี!I324"")"),10.0)</f>
        <v>10</v>
      </c>
      <c r="J429" s="427">
        <f>IFERROR(__xludf.DUMMYFUNCTION("IMPORTRANGE(""https://docs.google.com/spreadsheets/d/1SX6NBoVAgQJ6U1MVXOaj8PK2l7WJ3RER9xtqwdhxkhw/edit?usp=sharing"",""ปทุมธานี!J324"")"),0.0)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IFERROR(__xludf.DUMMYFUNCTION("IMPORTRANGE(""https://docs.google.com/spreadsheets/d/1SX6NBoVAgQJ6U1MVXOaj8PK2l7WJ3RER9xtqwdhxkhw/edit?usp=sharing"",""ปทุมธานี!I325"")"),35.0)</f>
        <v>35</v>
      </c>
      <c r="J430" s="425">
        <f>IFERROR(__xludf.DUMMYFUNCTION("IMPORTRANGE(""https://docs.google.com/spreadsheets/d/1SX6NBoVAgQJ6U1MVXOaj8PK2l7WJ3RER9xtqwdhxkhw/edit?usp=sharing"",""ปทุมธานี!J325"")"),0.0)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IFERROR(__xludf.DUMMYFUNCTION("IMPORTRANGE(""https://docs.google.com/spreadsheets/d/1SX6NBoVAgQJ6U1MVXOaj8PK2l7WJ3RER9xtqwdhxkhw/edit?usp=sharing"",""ปทุมธานี!I326"")"),10.0)</f>
        <v>10</v>
      </c>
      <c r="J431" s="427">
        <f>IFERROR(__xludf.DUMMYFUNCTION("IMPORTRANGE(""https://docs.google.com/spreadsheets/d/1SX6NBoVAgQJ6U1MVXOaj8PK2l7WJ3RER9xtqwdhxkhw/edit?usp=sharing"",""ปทุมธานี!J326"")"),0.0)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IFERROR(__xludf.DUMMYFUNCTION("IMPORTRANGE(""https://docs.google.com/spreadsheets/d/1SX6NBoVAgQJ6U1MVXOaj8PK2l7WJ3RER9xtqwdhxkhw/edit?usp=sharing"",""ปทุมธานี!I327"")"),25.0)</f>
        <v>25</v>
      </c>
      <c r="J432" s="427">
        <f>IFERROR(__xludf.DUMMYFUNCTION("IMPORTRANGE(""https://docs.google.com/spreadsheets/d/1SX6NBoVAgQJ6U1MVXOaj8PK2l7WJ3RER9xtqwdhxkhw/edit?usp=sharing"",""ปทุมธานี!J327"")"),0.0)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IFERROR(__xludf.DUMMYFUNCTION("IMPORTRANGE(""https://docs.google.com/spreadsheets/d/1SX6NBoVAgQJ6U1MVXOaj8PK2l7WJ3RER9xtqwdhxkhw/edit?usp=sharing"",""ปทุมธานี!J328"")"),0.0)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IFERROR(__xludf.DUMMYFUNCTION("IMPORTRANGE(""https://docs.google.com/spreadsheets/d/1SX6NBoVAgQJ6U1MVXOaj8PK2l7WJ3RER9xtqwdhxkhw/edit?usp=sharing"",""ปทุมธานี!J329"")"),0.0)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IFERROR(__xludf.DUMMYFUNCTION("IMPORTRANGE(""https://docs.google.com/spreadsheets/d/1SX6NBoVAgQJ6U1MVXOaj8PK2l7WJ3RER9xtqwdhxkhw/edit?usp=sharing"",""ปทุมธานี!I330"")"),10.0)</f>
        <v>10</v>
      </c>
      <c r="J435" s="443">
        <f>IFERROR(__xludf.DUMMYFUNCTION("IMPORTRANGE(""https://docs.google.com/spreadsheets/d/1SX6NBoVAgQJ6U1MVXOaj8PK2l7WJ3RER9xtqwdhxkhw/edit?usp=sharing"",""ปทุมธานี!J330"")"),10.0)</f>
        <v>10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IFERROR(__xludf.DUMMYFUNCTION("IMPORTRANGE(""https://docs.google.com/spreadsheets/d/1SX6NBoVAgQJ6U1MVXOaj8PK2l7WJ3RER9xtqwdhxkhw/edit?usp=sharing"",""ปทุมธานี!L330"")"),71000.0)</f>
        <v>71000</v>
      </c>
      <c r="M435" s="445"/>
      <c r="N435" s="445">
        <f>IFERROR(__xludf.DUMMYFUNCTION("IMPORTRANGE(""https://docs.google.com/spreadsheets/d/1SX6NBoVAgQJ6U1MVXOaj8PK2l7WJ3RER9xtqwdhxkhw/edit?usp=sharing"",""ปทุมธานี!M330"")"),39257.0)</f>
        <v>39257</v>
      </c>
      <c r="O435" s="445">
        <f t="shared" ref="O435:O439" si="115">+IF(L435&gt;0,N435*100/L435,0)</f>
        <v>55.2915493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IFERROR(__xludf.DUMMYFUNCTION("IMPORTRANGE(""https://docs.google.com/spreadsheets/d/1SX6NBoVAgQJ6U1MVXOaj8PK2l7WJ3RER9xtqwdhxkhw/edit?usp=sharing"",""ปทุมธานี!L331"")"),0.0)</f>
        <v>0</v>
      </c>
      <c r="M436" s="197"/>
      <c r="N436" s="203">
        <f>IFERROR(__xludf.DUMMYFUNCTION("IMPORTRANGE(""https://docs.google.com/spreadsheets/d/1SX6NBoVAgQJ6U1MVXOaj8PK2l7WJ3RER9xtqwdhxkhw/edit?usp=sharing"",""ปทุมธานี!M331"")"),0.0)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IFERROR(__xludf.DUMMYFUNCTION("IMPORTRANGE(""https://docs.google.com/spreadsheets/d/1SX6NBoVAgQJ6U1MVXOaj8PK2l7WJ3RER9xtqwdhxkhw/edit?usp=sharing"",""ปทุมธานี!L332"")"),71000.0)</f>
        <v>71000</v>
      </c>
      <c r="M437" s="198"/>
      <c r="N437" s="203">
        <f>IFERROR(__xludf.DUMMYFUNCTION("IMPORTRANGE(""https://docs.google.com/spreadsheets/d/1SX6NBoVAgQJ6U1MVXOaj8PK2l7WJ3RER9xtqwdhxkhw/edit?usp=sharing"",""ปทุมธานี!M332"")"),39257.0)</f>
        <v>39257</v>
      </c>
      <c r="O437" s="203">
        <f t="shared" si="115"/>
        <v>55.2915493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IFERROR(__xludf.DUMMYFUNCTION("IMPORTRANGE(""https://docs.google.com/spreadsheets/d/1SX6NBoVAgQJ6U1MVXOaj8PK2l7WJ3RER9xtqwdhxkhw/edit?usp=sharing"",""ปทุมธานี!L333"")"),0.0)</f>
        <v>0</v>
      </c>
      <c r="M438" s="203"/>
      <c r="N438" s="203">
        <f>IFERROR(__xludf.DUMMYFUNCTION("IMPORTRANGE(""https://docs.google.com/spreadsheets/d/1SX6NBoVAgQJ6U1MVXOaj8PK2l7WJ3RER9xtqwdhxkhw/edit?usp=sharing"",""ปทุมธานี!M333"")"),0.0)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IFERROR(__xludf.DUMMYFUNCTION("IMPORTRANGE(""https://docs.google.com/spreadsheets/d/1SX6NBoVAgQJ6U1MVXOaj8PK2l7WJ3RER9xtqwdhxkhw/edit?usp=sharing"",""ปทุมธานี!L334"")"),71000.0)</f>
        <v>71000</v>
      </c>
      <c r="M439" s="203"/>
      <c r="N439" s="203">
        <f>IFERROR(__xludf.DUMMYFUNCTION("IMPORTRANGE(""https://docs.google.com/spreadsheets/d/1SX6NBoVAgQJ6U1MVXOaj8PK2l7WJ3RER9xtqwdhxkhw/edit?usp=sharing"",""ปทุมธานี!M334"")"),39257.0)</f>
        <v>39257</v>
      </c>
      <c r="O439" s="203">
        <f t="shared" si="115"/>
        <v>55.2915493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IFERROR(__xludf.DUMMYFUNCTION("IMPORTRANGE(""https://docs.google.com/spreadsheets/d/1SX6NBoVAgQJ6U1MVXOaj8PK2l7WJ3RER9xtqwdhxkhw/edit?usp=sharing"",""ปทุมธานี!M335"")"),38257.0)</f>
        <v>38257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IFERROR(__xludf.DUMMYFUNCTION("IMPORTRANGE(""https://docs.google.com/spreadsheets/d/1SX6NBoVAgQJ6U1MVXOaj8PK2l7WJ3RER9xtqwdhxkhw/edit?usp=sharing"",""ปทุมธานี!M336"")"),0.0)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IFERROR(__xludf.DUMMYFUNCTION("IMPORTRANGE(""https://docs.google.com/spreadsheets/d/1SX6NBoVAgQJ6U1MVXOaj8PK2l7WJ3RER9xtqwdhxkhw/edit?usp=sharing"",""ปทุมธานี!M337"")"),0.0)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IFERROR(__xludf.DUMMYFUNCTION("IMPORTRANGE(""https://docs.google.com/spreadsheets/d/1SX6NBoVAgQJ6U1MVXOaj8PK2l7WJ3RER9xtqwdhxkhw/edit?usp=sharing"",""ปทุมธานี!M338"")"),1000.0)</f>
        <v>1000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IFERROR(__xludf.DUMMYFUNCTION("IMPORTRANGE(""https://docs.google.com/spreadsheets/d/1SX6NBoVAgQJ6U1MVXOaj8PK2l7WJ3RER9xtqwdhxkhw/edit?usp=sharing"",""ปทุมธานี!J340"")"),0.0)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IFERROR(__xludf.DUMMYFUNCTION("IMPORTRANGE(""https://docs.google.com/spreadsheets/d/1SX6NBoVAgQJ6U1MVXOaj8PK2l7WJ3RER9xtqwdhxkhw/edit?usp=sharing"",""ปทุมธานี!J341"")"),1.0)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IFERROR(__xludf.DUMMYFUNCTION("IMPORTRANGE(""https://docs.google.com/spreadsheets/d/1SX6NBoVAgQJ6U1MVXOaj8PK2l7WJ3RER9xtqwdhxkhw/edit?usp=sharing"",""ปทุมธานี!J342"")"),1.0)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IFERROR(__xludf.DUMMYFUNCTION("IMPORTRANGE(""https://docs.google.com/spreadsheets/d/1SX6NBoVAgQJ6U1MVXOaj8PK2l7WJ3RER9xtqwdhxkhw/edit?usp=sharing"",""ปทุมธานี!J343"")"),1.0)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IFERROR(__xludf.DUMMYFUNCTION("IMPORTRANGE(""https://docs.google.com/spreadsheets/d/1SX6NBoVAgQJ6U1MVXOaj8PK2l7WJ3RER9xtqwdhxkhw/edit?usp=sharing"",""ปทุมธานี!I344"")"),10.0)</f>
        <v>10</v>
      </c>
      <c r="J449" s="235">
        <f>IFERROR(__xludf.DUMMYFUNCTION("IMPORTRANGE(""https://docs.google.com/spreadsheets/d/1SX6NBoVAgQJ6U1MVXOaj8PK2l7WJ3RER9xtqwdhxkhw/edit?usp=sharing"",""ปทุมธานี!J344"")"),10.0)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IFERROR(__xludf.DUMMYFUNCTION("IMPORTRANGE(""https://docs.google.com/spreadsheets/d/1SX6NBoVAgQJ6U1MVXOaj8PK2l7WJ3RER9xtqwdhxkhw/edit?usp=sharing"",""ปทุมธานี!I345"")"),10.0)</f>
        <v>10</v>
      </c>
      <c r="J450" s="223">
        <f>IFERROR(__xludf.DUMMYFUNCTION("IMPORTRANGE(""https://docs.google.com/spreadsheets/d/1SX6NBoVAgQJ6U1MVXOaj8PK2l7WJ3RER9xtqwdhxkhw/edit?usp=sharing"",""ปทุมธานี!J345"")"),10.0)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IFERROR(__xludf.DUMMYFUNCTION("IMPORTRANGE(""https://docs.google.com/spreadsheets/d/1SX6NBoVAgQJ6U1MVXOaj8PK2l7WJ3RER9xtqwdhxkhw/edit?usp=sharing"",""ปทุมธานี!I346"")"),0.0)</f>
        <v>0</v>
      </c>
      <c r="J451" s="222">
        <f>IFERROR(__xludf.DUMMYFUNCTION("IMPORTRANGE(""https://docs.google.com/spreadsheets/d/1SX6NBoVAgQJ6U1MVXOaj8PK2l7WJ3RER9xtqwdhxkhw/edit?usp=sharing"",""ปทุมธานี!J346"")"),0.0)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IFERROR(__xludf.DUMMYFUNCTION("IMPORTRANGE(""https://docs.google.com/spreadsheets/d/1SX6NBoVAgQJ6U1MVXOaj8PK2l7WJ3RER9xtqwdhxkhw/edit?usp=sharing"",""ปทุมธานี!I347"")"),0.0)</f>
        <v>0</v>
      </c>
      <c r="J452" s="222">
        <f>IFERROR(__xludf.DUMMYFUNCTION("IMPORTRANGE(""https://docs.google.com/spreadsheets/d/1SX6NBoVAgQJ6U1MVXOaj8PK2l7WJ3RER9xtqwdhxkhw/edit?usp=sharing"",""ปทุมธานี!J347"")"),0.0)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IFERROR(__xludf.DUMMYFUNCTION("IMPORTRANGE(""https://docs.google.com/spreadsheets/d/1SX6NBoVAgQJ6U1MVXOaj8PK2l7WJ3RER9xtqwdhxkhw/edit?usp=sharing"",""ปทุมธานี!J348"")"),0.0)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IFERROR(__xludf.DUMMYFUNCTION("IMPORTRANGE(""https://docs.google.com/spreadsheets/d/1SX6NBoVAgQJ6U1MVXOaj8PK2l7WJ3RER9xtqwdhxkhw/edit?usp=sharing"",""ปทุมธานี!J349"")"),0.0)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IFERROR(__xludf.DUMMYFUNCTION("IMPORTRANGE(""https://docs.google.com/spreadsheets/d/1SX6NBoVAgQJ6U1MVXOaj8PK2l7WJ3RER9xtqwdhxkhw/edit?usp=sharing"",""ปทุมธานี!I350"")"),0.0)</f>
        <v>0</v>
      </c>
      <c r="J455" s="404">
        <f>IFERROR(__xludf.DUMMYFUNCTION("IMPORTRANGE(""https://docs.google.com/spreadsheets/d/1SX6NBoVAgQJ6U1MVXOaj8PK2l7WJ3RER9xtqwdhxkhw/edit?usp=sharing"",""ปทุมธานี!J350"")"),0.0)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IFERROR(__xludf.DUMMYFUNCTION("IMPORTRANGE(""https://docs.google.com/spreadsheets/d/1SX6NBoVAgQJ6U1MVXOaj8PK2l7WJ3RER9xtqwdhxkhw/edit?usp=sharing"",""ปทุมธานี!L350"")"),0.0)</f>
        <v>0</v>
      </c>
      <c r="M455" s="406"/>
      <c r="N455" s="406">
        <f>IFERROR(__xludf.DUMMYFUNCTION("IMPORTRANGE(""https://docs.google.com/spreadsheets/d/1SX6NBoVAgQJ6U1MVXOaj8PK2l7WJ3RER9xtqwdhxkhw/edit?usp=sharing"",""ปทุมธานี!M350"")"),0.0)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IFERROR(__xludf.DUMMYFUNCTION("IMPORTRANGE(""https://docs.google.com/spreadsheets/d/1SX6NBoVAgQJ6U1MVXOaj8PK2l7WJ3RER9xtqwdhxkhw/edit?usp=sharing"",""ปทุมธานี!L351"")"),0.0)</f>
        <v>0</v>
      </c>
      <c r="M456" s="197"/>
      <c r="N456" s="203">
        <f>IFERROR(__xludf.DUMMYFUNCTION("IMPORTRANGE(""https://docs.google.com/spreadsheets/d/1SX6NBoVAgQJ6U1MVXOaj8PK2l7WJ3RER9xtqwdhxkhw/edit?usp=sharing"",""ปทุมธานี!M351"")"),0.0)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IFERROR(__xludf.DUMMYFUNCTION("IMPORTRANGE(""https://docs.google.com/spreadsheets/d/1SX6NBoVAgQJ6U1MVXOaj8PK2l7WJ3RER9xtqwdhxkhw/edit?usp=sharing"",""ปทุมธานี!L352"")"),0.0)</f>
        <v>0</v>
      </c>
      <c r="M457" s="198"/>
      <c r="N457" s="203">
        <f>IFERROR(__xludf.DUMMYFUNCTION("IMPORTRANGE(""https://docs.google.com/spreadsheets/d/1SX6NBoVAgQJ6U1MVXOaj8PK2l7WJ3RER9xtqwdhxkhw/edit?usp=sharing"",""ปทุมธานี!M352"")"),0.0)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IFERROR(__xludf.DUMMYFUNCTION("IMPORTRANGE(""https://docs.google.com/spreadsheets/d/1SX6NBoVAgQJ6U1MVXOaj8PK2l7WJ3RER9xtqwdhxkhw/edit?usp=sharing"",""ปทุมธานี!L353"")"),0.0)</f>
        <v>0</v>
      </c>
      <c r="M458" s="203"/>
      <c r="N458" s="203">
        <f>IFERROR(__xludf.DUMMYFUNCTION("IMPORTRANGE(""https://docs.google.com/spreadsheets/d/1SX6NBoVAgQJ6U1MVXOaj8PK2l7WJ3RER9xtqwdhxkhw/edit?usp=sharing"",""ปทุมธานี!M353"")"),0.0)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IFERROR(__xludf.DUMMYFUNCTION("IMPORTRANGE(""https://docs.google.com/spreadsheets/d/1SX6NBoVAgQJ6U1MVXOaj8PK2l7WJ3RER9xtqwdhxkhw/edit?usp=sharing"",""ปทุมธานี!L354"")"),0.0)</f>
        <v>0</v>
      </c>
      <c r="M459" s="203"/>
      <c r="N459" s="203">
        <f>IFERROR(__xludf.DUMMYFUNCTION("IMPORTRANGE(""https://docs.google.com/spreadsheets/d/1SX6NBoVAgQJ6U1MVXOaj8PK2l7WJ3RER9xtqwdhxkhw/edit?usp=sharing"",""ปทุมธานี!M354"")"),0.0)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IFERROR(__xludf.DUMMYFUNCTION("IMPORTRANGE(""https://docs.google.com/spreadsheets/d/1SX6NBoVAgQJ6U1MVXOaj8PK2l7WJ3RER9xtqwdhxkhw/edit?usp=sharing"",""ปทุมธานี!M355"")"),0.0)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IFERROR(__xludf.DUMMYFUNCTION("IMPORTRANGE(""https://docs.google.com/spreadsheets/d/1SX6NBoVAgQJ6U1MVXOaj8PK2l7WJ3RER9xtqwdhxkhw/edit?usp=sharing"",""ปทุมธานี!M356"")"),0.0)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IFERROR(__xludf.DUMMYFUNCTION("IMPORTRANGE(""https://docs.google.com/spreadsheets/d/1SX6NBoVAgQJ6U1MVXOaj8PK2l7WJ3RER9xtqwdhxkhw/edit?usp=sharing"",""ปทุมธานี!M357"")"),0.0)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IFERROR(__xludf.DUMMYFUNCTION("IMPORTRANGE(""https://docs.google.com/spreadsheets/d/1SX6NBoVAgQJ6U1MVXOaj8PK2l7WJ3RER9xtqwdhxkhw/edit?usp=sharing"",""ปทุมธานี!M358"")"),0.0)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IFERROR(__xludf.DUMMYFUNCTION("IMPORTRANGE(""https://docs.google.com/spreadsheets/d/1SX6NBoVAgQJ6U1MVXOaj8PK2l7WJ3RER9xtqwdhxkhw/edit?usp=sharing"",""ปทุมธานี!I359"")"),0.0)</f>
        <v>0</v>
      </c>
      <c r="J464" s="301">
        <f>IFERROR(__xludf.DUMMYFUNCTION("IMPORTRANGE(""https://docs.google.com/spreadsheets/d/1SX6NBoVAgQJ6U1MVXOaj8PK2l7WJ3RER9xtqwdhxkhw/edit?usp=sharing"",""ปทุมธานี!J359"")"),0.0)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IFERROR(__xludf.DUMMYFUNCTION("IMPORTRANGE(""https://docs.google.com/spreadsheets/d/1SX6NBoVAgQJ6U1MVXOaj8PK2l7WJ3RER9xtqwdhxkhw/edit?usp=sharing"",""ปทุมธานี!I360"")"),0.0)</f>
        <v>0</v>
      </c>
      <c r="J465" s="453">
        <f>IFERROR(__xludf.DUMMYFUNCTION("IMPORTRANGE(""https://docs.google.com/spreadsheets/d/1SX6NBoVAgQJ6U1MVXOaj8PK2l7WJ3RER9xtqwdhxkhw/edit?usp=sharing"",""ปทุมธานี!J360"")"),0.0)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IFERROR(__xludf.DUMMYFUNCTION("IMPORTRANGE(""https://docs.google.com/spreadsheets/d/1SX6NBoVAgQJ6U1MVXOaj8PK2l7WJ3RER9xtqwdhxkhw/edit?usp=sharing"",""ปทุมธานี!I361"")"),0.0)</f>
        <v>0</v>
      </c>
      <c r="J466" s="453">
        <f>IFERROR(__xludf.DUMMYFUNCTION("IMPORTRANGE(""https://docs.google.com/spreadsheets/d/1SX6NBoVAgQJ6U1MVXOaj8PK2l7WJ3RER9xtqwdhxkhw/edit?usp=sharing"",""ปทุมธานี!J361"")"),0.0)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IFERROR(__xludf.DUMMYFUNCTION("IMPORTRANGE(""https://docs.google.com/spreadsheets/d/1SX6NBoVAgQJ6U1MVXOaj8PK2l7WJ3RER9xtqwdhxkhw/edit?usp=sharing"",""ปทุมธานี!I362"")"),0.0)</f>
        <v>0</v>
      </c>
      <c r="J467" s="223">
        <f>IFERROR(__xludf.DUMMYFUNCTION("IMPORTRANGE(""https://docs.google.com/spreadsheets/d/1SX6NBoVAgQJ6U1MVXOaj8PK2l7WJ3RER9xtqwdhxkhw/edit?usp=sharing"",""ปทุมธานี!J362"")"),0.0)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IFERROR(__xludf.DUMMYFUNCTION("IMPORTRANGE(""https://docs.google.com/spreadsheets/d/1SX6NBoVAgQJ6U1MVXOaj8PK2l7WJ3RER9xtqwdhxkhw/edit?usp=sharing"",""ปทุมธานี!I363"")"),0.0)</f>
        <v>0</v>
      </c>
      <c r="J468" s="223">
        <f>IFERROR(__xludf.DUMMYFUNCTION("IMPORTRANGE(""https://docs.google.com/spreadsheets/d/1SX6NBoVAgQJ6U1MVXOaj8PK2l7WJ3RER9xtqwdhxkhw/edit?usp=sharing"",""ปทุมธานี!J363"")"),0.0)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IFERROR(__xludf.DUMMYFUNCTION("IMPORTRANGE(""https://docs.google.com/spreadsheets/d/1SX6NBoVAgQJ6U1MVXOaj8PK2l7WJ3RER9xtqwdhxkhw/edit?usp=sharing"",""ปทุมธานี!I364"")"),0.0)</f>
        <v>0</v>
      </c>
      <c r="J469" s="223">
        <f>IFERROR(__xludf.DUMMYFUNCTION("IMPORTRANGE(""https://docs.google.com/spreadsheets/d/1SX6NBoVAgQJ6U1MVXOaj8PK2l7WJ3RER9xtqwdhxkhw/edit?usp=sharing"",""ปทุมธานี!J364"")"),0.0)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IFERROR(__xludf.DUMMYFUNCTION("IMPORTRANGE(""https://docs.google.com/spreadsheets/d/1SX6NBoVAgQJ6U1MVXOaj8PK2l7WJ3RER9xtqwdhxkhw/edit?usp=sharing"",""ปทุมธานี!I365"")"),0.0)</f>
        <v>0</v>
      </c>
      <c r="J470" s="223">
        <f>IFERROR(__xludf.DUMMYFUNCTION("IMPORTRANGE(""https://docs.google.com/spreadsheets/d/1SX6NBoVAgQJ6U1MVXOaj8PK2l7WJ3RER9xtqwdhxkhw/edit?usp=sharing"",""ปทุมธานี!J365"")"),0.0)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IFERROR(__xludf.DUMMYFUNCTION("IMPORTRANGE(""https://docs.google.com/spreadsheets/d/1SX6NBoVAgQJ6U1MVXOaj8PK2l7WJ3RER9xtqwdhxkhw/edit?usp=sharing"",""ปทุมธานี!I366"")"),0.0)</f>
        <v>0</v>
      </c>
      <c r="J471" s="223">
        <f>IFERROR(__xludf.DUMMYFUNCTION("IMPORTRANGE(""https://docs.google.com/spreadsheets/d/1SX6NBoVAgQJ6U1MVXOaj8PK2l7WJ3RER9xtqwdhxkhw/edit?usp=sharing"",""ปทุมธานี!J366"")"),0.0)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IFERROR(__xludf.DUMMYFUNCTION("IMPORTRANGE(""https://docs.google.com/spreadsheets/d/1SX6NBoVAgQJ6U1MVXOaj8PK2l7WJ3RER9xtqwdhxkhw/edit?usp=sharing"",""ปทุมธานี!I367"")"),0.0)</f>
        <v>0</v>
      </c>
      <c r="J472" s="223">
        <f>IFERROR(__xludf.DUMMYFUNCTION("IMPORTRANGE(""https://docs.google.com/spreadsheets/d/1SX6NBoVAgQJ6U1MVXOaj8PK2l7WJ3RER9xtqwdhxkhw/edit?usp=sharing"",""ปทุมธานี!J367"")"),0.0)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IFERROR(__xludf.DUMMYFUNCTION("IMPORTRANGE(""https://docs.google.com/spreadsheets/d/1SX6NBoVAgQJ6U1MVXOaj8PK2l7WJ3RER9xtqwdhxkhw/edit?usp=sharing"",""ปทุมธานี!I368"")"),0.0)</f>
        <v>0</v>
      </c>
      <c r="J473" s="453">
        <f>IFERROR(__xludf.DUMMYFUNCTION("IMPORTRANGE(""https://docs.google.com/spreadsheets/d/1SX6NBoVAgQJ6U1MVXOaj8PK2l7WJ3RER9xtqwdhxkhw/edit?usp=sharing"",""ปทุมธานี!J368"")"),0.0)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IFERROR(__xludf.DUMMYFUNCTION("IMPORTRANGE(""https://docs.google.com/spreadsheets/d/1SX6NBoVAgQJ6U1MVXOaj8PK2l7WJ3RER9xtqwdhxkhw/edit?usp=sharing"",""ปทุมธานี!I369"")"),0.0)</f>
        <v>0</v>
      </c>
      <c r="J474" s="453">
        <f>IFERROR(__xludf.DUMMYFUNCTION("IMPORTRANGE(""https://docs.google.com/spreadsheets/d/1SX6NBoVAgQJ6U1MVXOaj8PK2l7WJ3RER9xtqwdhxkhw/edit?usp=sharing"",""ปทุมธานี!J369"")"),0.0)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IFERROR(__xludf.DUMMYFUNCTION("IMPORTRANGE(""https://docs.google.com/spreadsheets/d/1SX6NBoVAgQJ6U1MVXOaj8PK2l7WJ3RER9xtqwdhxkhw/edit?usp=sharing"",""ปทุมธานี!I370"")"),0.0)</f>
        <v>0</v>
      </c>
      <c r="J475" s="223">
        <f>IFERROR(__xludf.DUMMYFUNCTION("IMPORTRANGE(""https://docs.google.com/spreadsheets/d/1SX6NBoVAgQJ6U1MVXOaj8PK2l7WJ3RER9xtqwdhxkhw/edit?usp=sharing"",""ปทุมธานี!J370"")"),0.0)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IFERROR(__xludf.DUMMYFUNCTION("IMPORTRANGE(""https://docs.google.com/spreadsheets/d/1SX6NBoVAgQJ6U1MVXOaj8PK2l7WJ3RER9xtqwdhxkhw/edit?usp=sharing"",""ปทุมธานี!I371"")"),0.0)</f>
        <v>0</v>
      </c>
      <c r="J476" s="223">
        <f>IFERROR(__xludf.DUMMYFUNCTION("IMPORTRANGE(""https://docs.google.com/spreadsheets/d/1SX6NBoVAgQJ6U1MVXOaj8PK2l7WJ3RER9xtqwdhxkhw/edit?usp=sharing"",""ปทุมธานี!J371"")"),0.0)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IFERROR(__xludf.DUMMYFUNCTION("IMPORTRANGE(""https://docs.google.com/spreadsheets/d/1SX6NBoVAgQJ6U1MVXOaj8PK2l7WJ3RER9xtqwdhxkhw/edit?usp=sharing"",""ปทุมธานี!I372"")"),0.0)</f>
        <v>0</v>
      </c>
      <c r="J477" s="223">
        <f>IFERROR(__xludf.DUMMYFUNCTION("IMPORTRANGE(""https://docs.google.com/spreadsheets/d/1SX6NBoVAgQJ6U1MVXOaj8PK2l7WJ3RER9xtqwdhxkhw/edit?usp=sharing"",""ปทุมธานี!J372"")"),0.0)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IFERROR(__xludf.DUMMYFUNCTION("IMPORTRANGE(""https://docs.google.com/spreadsheets/d/1SX6NBoVAgQJ6U1MVXOaj8PK2l7WJ3RER9xtqwdhxkhw/edit?usp=sharing"",""ปทุมธานี!I373"")"),0.0)</f>
        <v>0</v>
      </c>
      <c r="J478" s="223">
        <f>IFERROR(__xludf.DUMMYFUNCTION("IMPORTRANGE(""https://docs.google.com/spreadsheets/d/1SX6NBoVAgQJ6U1MVXOaj8PK2l7WJ3RER9xtqwdhxkhw/edit?usp=sharing"",""ปทุมธานี!J373"")"),0.0)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IFERROR(__xludf.DUMMYFUNCTION("IMPORTRANGE(""https://docs.google.com/spreadsheets/d/1SX6NBoVAgQJ6U1MVXOaj8PK2l7WJ3RER9xtqwdhxkhw/edit?usp=sharing"",""ปทุมธานี!I374"")"),0.0)</f>
        <v>0</v>
      </c>
      <c r="J479" s="223">
        <f>IFERROR(__xludf.DUMMYFUNCTION("IMPORTRANGE(""https://docs.google.com/spreadsheets/d/1SX6NBoVAgQJ6U1MVXOaj8PK2l7WJ3RER9xtqwdhxkhw/edit?usp=sharing"",""ปทุมธานี!J374"")"),0.0)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IFERROR(__xludf.DUMMYFUNCTION("IMPORTRANGE(""https://docs.google.com/spreadsheets/d/1SX6NBoVAgQJ6U1MVXOaj8PK2l7WJ3RER9xtqwdhxkhw/edit?usp=sharing"",""ปทุมธานี!I375"")"),0.0)</f>
        <v>0</v>
      </c>
      <c r="J480" s="223">
        <f>IFERROR(__xludf.DUMMYFUNCTION("IMPORTRANGE(""https://docs.google.com/spreadsheets/d/1SX6NBoVAgQJ6U1MVXOaj8PK2l7WJ3RER9xtqwdhxkhw/edit?usp=sharing"",""ปทุมธานี!J375"")"),0.0)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IFERROR(__xludf.DUMMYFUNCTION("IMPORTRANGE(""https://docs.google.com/spreadsheets/d/1SX6NBoVAgQJ6U1MVXOaj8PK2l7WJ3RER9xtqwdhxkhw/edit?usp=sharing"",""ปทุมธานี!I376"")"),0.0)</f>
        <v>0</v>
      </c>
      <c r="J481" s="453">
        <f>IFERROR(__xludf.DUMMYFUNCTION("IMPORTRANGE(""https://docs.google.com/spreadsheets/d/1SX6NBoVAgQJ6U1MVXOaj8PK2l7WJ3RER9xtqwdhxkhw/edit?usp=sharing"",""ปทุมธานี!J376"")"),0.0)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IFERROR(__xludf.DUMMYFUNCTION("IMPORTRANGE(""https://docs.google.com/spreadsheets/d/1SX6NBoVAgQJ6U1MVXOaj8PK2l7WJ3RER9xtqwdhxkhw/edit?usp=sharing"",""ปทุมธานี!I377"")"),0.0)</f>
        <v>0</v>
      </c>
      <c r="J482" s="453">
        <f>IFERROR(__xludf.DUMMYFUNCTION("IMPORTRANGE(""https://docs.google.com/spreadsheets/d/1SX6NBoVAgQJ6U1MVXOaj8PK2l7WJ3RER9xtqwdhxkhw/edit?usp=sharing"",""ปทุมธานี!J377"")"),0.0)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IFERROR(__xludf.DUMMYFUNCTION("IMPORTRANGE(""https://docs.google.com/spreadsheets/d/1SX6NBoVAgQJ6U1MVXOaj8PK2l7WJ3RER9xtqwdhxkhw/edit?usp=sharing"",""ปทุมธานี!I378"")"),0.0)</f>
        <v>0</v>
      </c>
      <c r="J483" s="223">
        <f>IFERROR(__xludf.DUMMYFUNCTION("IMPORTRANGE(""https://docs.google.com/spreadsheets/d/1SX6NBoVAgQJ6U1MVXOaj8PK2l7WJ3RER9xtqwdhxkhw/edit?usp=sharing"",""ปทุมธานี!J378"")"),0.0)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IFERROR(__xludf.DUMMYFUNCTION("IMPORTRANGE(""https://docs.google.com/spreadsheets/d/1SX6NBoVAgQJ6U1MVXOaj8PK2l7WJ3RER9xtqwdhxkhw/edit?usp=sharing"",""ปทุมธานี!I379"")"),0.0)</f>
        <v>0</v>
      </c>
      <c r="J484" s="223">
        <f>IFERROR(__xludf.DUMMYFUNCTION("IMPORTRANGE(""https://docs.google.com/spreadsheets/d/1SX6NBoVAgQJ6U1MVXOaj8PK2l7WJ3RER9xtqwdhxkhw/edit?usp=sharing"",""ปทุมธานี!J379"")"),0.0)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IFERROR(__xludf.DUMMYFUNCTION("IMPORTRANGE(""https://docs.google.com/spreadsheets/d/1SX6NBoVAgQJ6U1MVXOaj8PK2l7WJ3RER9xtqwdhxkhw/edit?usp=sharing"",""ปทุมธานี!I380"")"),0.0)</f>
        <v>0</v>
      </c>
      <c r="J485" s="223">
        <f>IFERROR(__xludf.DUMMYFUNCTION("IMPORTRANGE(""https://docs.google.com/spreadsheets/d/1SX6NBoVAgQJ6U1MVXOaj8PK2l7WJ3RER9xtqwdhxkhw/edit?usp=sharing"",""ปทุมธานี!J380"")"),0.0)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IFERROR(__xludf.DUMMYFUNCTION("IMPORTRANGE(""https://docs.google.com/spreadsheets/d/1SX6NBoVAgQJ6U1MVXOaj8PK2l7WJ3RER9xtqwdhxkhw/edit?usp=sharing"",""ปทุมธานี!I381"")"),0.0)</f>
        <v>0</v>
      </c>
      <c r="J486" s="223">
        <f>IFERROR(__xludf.DUMMYFUNCTION("IMPORTRANGE(""https://docs.google.com/spreadsheets/d/1SX6NBoVAgQJ6U1MVXOaj8PK2l7WJ3RER9xtqwdhxkhw/edit?usp=sharing"",""ปทุมธานี!J381"")"),0.0)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IFERROR(__xludf.DUMMYFUNCTION("IMPORTRANGE(""https://docs.google.com/spreadsheets/d/1SX6NBoVAgQJ6U1MVXOaj8PK2l7WJ3RER9xtqwdhxkhw/edit?usp=sharing"",""ปทุมธานี!I382"")"),0.0)</f>
        <v>0</v>
      </c>
      <c r="J487" s="453">
        <f>IFERROR(__xludf.DUMMYFUNCTION("IMPORTRANGE(""https://docs.google.com/spreadsheets/d/1SX6NBoVAgQJ6U1MVXOaj8PK2l7WJ3RER9xtqwdhxkhw/edit?usp=sharing"",""ปทุมธานี!J382"")"),0.0)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IFERROR(__xludf.DUMMYFUNCTION("IMPORTRANGE(""https://docs.google.com/spreadsheets/d/1SX6NBoVAgQJ6U1MVXOaj8PK2l7WJ3RER9xtqwdhxkhw/edit?usp=sharing"",""ปทุมธานี!I383"")"),0.0)</f>
        <v>0</v>
      </c>
      <c r="J488" s="453">
        <f>IFERROR(__xludf.DUMMYFUNCTION("IMPORTRANGE(""https://docs.google.com/spreadsheets/d/1SX6NBoVAgQJ6U1MVXOaj8PK2l7WJ3RER9xtqwdhxkhw/edit?usp=sharing"",""ปทุมธานี!J383"")"),0.0)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IFERROR(__xludf.DUMMYFUNCTION("IMPORTRANGE(""https://docs.google.com/spreadsheets/d/1SX6NBoVAgQJ6U1MVXOaj8PK2l7WJ3RER9xtqwdhxkhw/edit?usp=sharing"",""ปทุมธานี!I384"")"),0.0)</f>
        <v>0</v>
      </c>
      <c r="J489" s="223">
        <f>IFERROR(__xludf.DUMMYFUNCTION("IMPORTRANGE(""https://docs.google.com/spreadsheets/d/1SX6NBoVAgQJ6U1MVXOaj8PK2l7WJ3RER9xtqwdhxkhw/edit?usp=sharing"",""ปทุมธานี!J384"")"),0.0)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IFERROR(__xludf.DUMMYFUNCTION("IMPORTRANGE(""https://docs.google.com/spreadsheets/d/1SX6NBoVAgQJ6U1MVXOaj8PK2l7WJ3RER9xtqwdhxkhw/edit?usp=sharing"",""ปทุมธานี!I385"")"),0.0)</f>
        <v>0</v>
      </c>
      <c r="J490" s="223">
        <f>IFERROR(__xludf.DUMMYFUNCTION("IMPORTRANGE(""https://docs.google.com/spreadsheets/d/1SX6NBoVAgQJ6U1MVXOaj8PK2l7WJ3RER9xtqwdhxkhw/edit?usp=sharing"",""ปทุมธานี!J385"")"),0.0)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IFERROR(__xludf.DUMMYFUNCTION("IMPORTRANGE(""https://docs.google.com/spreadsheets/d/1SX6NBoVAgQJ6U1MVXOaj8PK2l7WJ3RER9xtqwdhxkhw/edit?usp=sharing"",""ปทุมธานี!I386"")"),0.0)</f>
        <v>0</v>
      </c>
      <c r="J491" s="223">
        <f>IFERROR(__xludf.DUMMYFUNCTION("IMPORTRANGE(""https://docs.google.com/spreadsheets/d/1SX6NBoVAgQJ6U1MVXOaj8PK2l7WJ3RER9xtqwdhxkhw/edit?usp=sharing"",""ปทุมธานี!J386"")"),0.0)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IFERROR(__xludf.DUMMYFUNCTION("IMPORTRANGE(""https://docs.google.com/spreadsheets/d/1SX6NBoVAgQJ6U1MVXOaj8PK2l7WJ3RER9xtqwdhxkhw/edit?usp=sharing"",""ปทุมธานี!I387"")"),0.0)</f>
        <v>0</v>
      </c>
      <c r="J492" s="223">
        <f>IFERROR(__xludf.DUMMYFUNCTION("IMPORTRANGE(""https://docs.google.com/spreadsheets/d/1SX6NBoVAgQJ6U1MVXOaj8PK2l7WJ3RER9xtqwdhxkhw/edit?usp=sharing"",""ปทุมธานี!J387"")"),0.0)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IFERROR(__xludf.DUMMYFUNCTION("IMPORTRANGE(""https://docs.google.com/spreadsheets/d/1SX6NBoVAgQJ6U1MVXOaj8PK2l7WJ3RER9xtqwdhxkhw/edit?usp=sharing"",""ปทุมธานี!I388"")"),0.0)</f>
        <v>0</v>
      </c>
      <c r="J493" s="223">
        <f>IFERROR(__xludf.DUMMYFUNCTION("IMPORTRANGE(""https://docs.google.com/spreadsheets/d/1SX6NBoVAgQJ6U1MVXOaj8PK2l7WJ3RER9xtqwdhxkhw/edit?usp=sharing"",""ปทุมธานี!J388"")"),0.0)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IFERROR(__xludf.DUMMYFUNCTION("IMPORTRANGE(""https://docs.google.com/spreadsheets/d/1SX6NBoVAgQJ6U1MVXOaj8PK2l7WJ3RER9xtqwdhxkhw/edit?usp=sharing"",""ปทุมธานี!I389"")"),0.0)</f>
        <v>0</v>
      </c>
      <c r="J494" s="469">
        <f>IFERROR(__xludf.DUMMYFUNCTION("IMPORTRANGE(""https://docs.google.com/spreadsheets/d/1SX6NBoVAgQJ6U1MVXOaj8PK2l7WJ3RER9xtqwdhxkhw/edit?usp=sharing"",""ปทุมธานี!J389"")"),0.0)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IFERROR(__xludf.DUMMYFUNCTION("IMPORTRANGE(""https://docs.google.com/spreadsheets/d/1SX6NBoVAgQJ6U1MVXOaj8PK2l7WJ3RER9xtqwdhxkhw/edit?usp=sharing"",""ปทุมธานี!I390"")"),0.0)</f>
        <v>0</v>
      </c>
      <c r="J495" s="469">
        <f>IFERROR(__xludf.DUMMYFUNCTION("IMPORTRANGE(""https://docs.google.com/spreadsheets/d/1SX6NBoVAgQJ6U1MVXOaj8PK2l7WJ3RER9xtqwdhxkhw/edit?usp=sharing"",""ปทุมธานี!J390"")"),0.0)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IFERROR(__xludf.DUMMYFUNCTION("IMPORTRANGE(""https://docs.google.com/spreadsheets/d/1SX6NBoVAgQJ6U1MVXOaj8PK2l7WJ3RER9xtqwdhxkhw/edit?usp=sharing"",""ปทุมธานี!I391"")"),0.0)</f>
        <v>0</v>
      </c>
      <c r="J496" s="469">
        <f>IFERROR(__xludf.DUMMYFUNCTION("IMPORTRANGE(""https://docs.google.com/spreadsheets/d/1SX6NBoVAgQJ6U1MVXOaj8PK2l7WJ3RER9xtqwdhxkhw/edit?usp=sharing"",""ปทุมธานี!J391"")"),0.0)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IFERROR(__xludf.DUMMYFUNCTION("IMPORTRANGE(""https://docs.google.com/spreadsheets/d/1SX6NBoVAgQJ6U1MVXOaj8PK2l7WJ3RER9xtqwdhxkhw/edit?usp=sharing"",""ปทุมธานี!I392"")"),0.0)</f>
        <v>0</v>
      </c>
      <c r="J497" s="476">
        <f>IFERROR(__xludf.DUMMYFUNCTION("IMPORTRANGE(""https://docs.google.com/spreadsheets/d/1SX6NBoVAgQJ6U1MVXOaj8PK2l7WJ3RER9xtqwdhxkhw/edit?usp=sharing"",""ปทุมธานี!J392"")"),0.0)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IFERROR(__xludf.DUMMYFUNCTION("IMPORTRANGE(""https://docs.google.com/spreadsheets/d/1SX6NBoVAgQJ6U1MVXOaj8PK2l7WJ3RER9xtqwdhxkhw/edit?usp=sharing"",""ปทุมธานี!I393"")"),0.0)</f>
        <v>0</v>
      </c>
      <c r="J498" s="453">
        <f>IFERROR(__xludf.DUMMYFUNCTION("IMPORTRANGE(""https://docs.google.com/spreadsheets/d/1SX6NBoVAgQJ6U1MVXOaj8PK2l7WJ3RER9xtqwdhxkhw/edit?usp=sharing"",""ปทุมธานี!J393"")"),0.0)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IFERROR(__xludf.DUMMYFUNCTION("IMPORTRANGE(""https://docs.google.com/spreadsheets/d/1SX6NBoVAgQJ6U1MVXOaj8PK2l7WJ3RER9xtqwdhxkhw/edit?usp=sharing"",""ปทุมธานี!I394"")"),0.0)</f>
        <v>0</v>
      </c>
      <c r="J499" s="453">
        <f>IFERROR(__xludf.DUMMYFUNCTION("IMPORTRANGE(""https://docs.google.com/spreadsheets/d/1SX6NBoVAgQJ6U1MVXOaj8PK2l7WJ3RER9xtqwdhxkhw/edit?usp=sharing"",""ปทุมธานี!J394"")"),0.0)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IFERROR(__xludf.DUMMYFUNCTION("IMPORTRANGE(""https://docs.google.com/spreadsheets/d/1SX6NBoVAgQJ6U1MVXOaj8PK2l7WJ3RER9xtqwdhxkhw/edit?usp=sharing"",""ปทุมธานี!I395"")"),0.0)</f>
        <v>0</v>
      </c>
      <c r="J500" s="195">
        <f>IFERROR(__xludf.DUMMYFUNCTION("IMPORTRANGE(""https://docs.google.com/spreadsheets/d/1SX6NBoVAgQJ6U1MVXOaj8PK2l7WJ3RER9xtqwdhxkhw/edit?usp=sharing"",""ปทุมธานี!J395"")"),0.0)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IFERROR(__xludf.DUMMYFUNCTION("IMPORTRANGE(""https://docs.google.com/spreadsheets/d/1SX6NBoVAgQJ6U1MVXOaj8PK2l7WJ3RER9xtqwdhxkhw/edit?usp=sharing"",""ปทุมธานี!I396"")"),0.0)</f>
        <v>0</v>
      </c>
      <c r="J501" s="195">
        <f>IFERROR(__xludf.DUMMYFUNCTION("IMPORTRANGE(""https://docs.google.com/spreadsheets/d/1SX6NBoVAgQJ6U1MVXOaj8PK2l7WJ3RER9xtqwdhxkhw/edit?usp=sharing"",""ปทุมธานี!J396"")"),0.0)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IFERROR(__xludf.DUMMYFUNCTION("IMPORTRANGE(""https://docs.google.com/spreadsheets/d/1SX6NBoVAgQJ6U1MVXOaj8PK2l7WJ3RER9xtqwdhxkhw/edit?usp=sharing"",""ปทุมธานี!I397"")"),0.0)</f>
        <v>0</v>
      </c>
      <c r="J502" s="223">
        <f>IFERROR(__xludf.DUMMYFUNCTION("IMPORTRANGE(""https://docs.google.com/spreadsheets/d/1SX6NBoVAgQJ6U1MVXOaj8PK2l7WJ3RER9xtqwdhxkhw/edit?usp=sharing"",""ปทุมธานี!J397"")"),0.0)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IFERROR(__xludf.DUMMYFUNCTION("IMPORTRANGE(""https://docs.google.com/spreadsheets/d/1SX6NBoVAgQJ6U1MVXOaj8PK2l7WJ3RER9xtqwdhxkhw/edit?usp=sharing"",""ปทุมธานี!I398"")"),0.0)</f>
        <v>0</v>
      </c>
      <c r="J503" s="232">
        <f>IFERROR(__xludf.DUMMYFUNCTION("IMPORTRANGE(""https://docs.google.com/spreadsheets/d/1SX6NBoVAgQJ6U1MVXOaj8PK2l7WJ3RER9xtqwdhxkhw/edit?usp=sharing"",""ปทุมธานี!J398"")"),0.0)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IFERROR(__xludf.DUMMYFUNCTION("IMPORTRANGE(""https://docs.google.com/spreadsheets/d/1SX6NBoVAgQJ6U1MVXOaj8PK2l7WJ3RER9xtqwdhxkhw/edit?usp=sharing"",""ปทุมธานี!I399"")"),0.0)</f>
        <v>0</v>
      </c>
      <c r="J504" s="223">
        <f>IFERROR(__xludf.DUMMYFUNCTION("IMPORTRANGE(""https://docs.google.com/spreadsheets/d/1SX6NBoVAgQJ6U1MVXOaj8PK2l7WJ3RER9xtqwdhxkhw/edit?usp=sharing"",""ปทุมธานี!J399"")"),0.0)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IFERROR(__xludf.DUMMYFUNCTION("IMPORTRANGE(""https://docs.google.com/spreadsheets/d/1SX6NBoVAgQJ6U1MVXOaj8PK2l7WJ3RER9xtqwdhxkhw/edit?usp=sharing"",""ปทุมธานี!I400"")"),0.0)</f>
        <v>0</v>
      </c>
      <c r="J505" s="232">
        <f>IFERROR(__xludf.DUMMYFUNCTION("IMPORTRANGE(""https://docs.google.com/spreadsheets/d/1SX6NBoVAgQJ6U1MVXOaj8PK2l7WJ3RER9xtqwdhxkhw/edit?usp=sharing"",""ปทุมธานี!J400"")"),0.0)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IFERROR(__xludf.DUMMYFUNCTION("IMPORTRANGE(""https://docs.google.com/spreadsheets/d/1SX6NBoVAgQJ6U1MVXOaj8PK2l7WJ3RER9xtqwdhxkhw/edit?usp=sharing"",""ปทุมธานี!I401"")"),0.0)</f>
        <v>0</v>
      </c>
      <c r="J506" s="223">
        <f>IFERROR(__xludf.DUMMYFUNCTION("IMPORTRANGE(""https://docs.google.com/spreadsheets/d/1SX6NBoVAgQJ6U1MVXOaj8PK2l7WJ3RER9xtqwdhxkhw/edit?usp=sharing"",""ปทุมธานี!J401"")"),0.0)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IFERROR(__xludf.DUMMYFUNCTION("IMPORTRANGE(""https://docs.google.com/spreadsheets/d/1SX6NBoVAgQJ6U1MVXOaj8PK2l7WJ3RER9xtqwdhxkhw/edit?usp=sharing"",""ปทุมธานี!I402"")"),0.0)</f>
        <v>0</v>
      </c>
      <c r="J507" s="232">
        <f>IFERROR(__xludf.DUMMYFUNCTION("IMPORTRANGE(""https://docs.google.com/spreadsheets/d/1SX6NBoVAgQJ6U1MVXOaj8PK2l7WJ3RER9xtqwdhxkhw/edit?usp=sharing"",""ปทุมธานี!J402"")"),0.0)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IFERROR(__xludf.DUMMYFUNCTION("IMPORTRANGE(""https://docs.google.com/spreadsheets/d/1SX6NBoVAgQJ6U1MVXOaj8PK2l7WJ3RER9xtqwdhxkhw/edit?usp=sharing"",""ปทุมธานี!I403"")"),0.0)</f>
        <v>0</v>
      </c>
      <c r="J508" s="195">
        <f>IFERROR(__xludf.DUMMYFUNCTION("IMPORTRANGE(""https://docs.google.com/spreadsheets/d/1SX6NBoVAgQJ6U1MVXOaj8PK2l7WJ3RER9xtqwdhxkhw/edit?usp=sharing"",""ปทุมธานี!J403"")"),0.0)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IFERROR(__xludf.DUMMYFUNCTION("IMPORTRANGE(""https://docs.google.com/spreadsheets/d/1SX6NBoVAgQJ6U1MVXOaj8PK2l7WJ3RER9xtqwdhxkhw/edit?usp=sharing"",""ปทุมธานี!I404"")"),0.0)</f>
        <v>0</v>
      </c>
      <c r="J509" s="195">
        <f>IFERROR(__xludf.DUMMYFUNCTION("IMPORTRANGE(""https://docs.google.com/spreadsheets/d/1SX6NBoVAgQJ6U1MVXOaj8PK2l7WJ3RER9xtqwdhxkhw/edit?usp=sharing"",""ปทุมธานี!J404"")"),0.0)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IFERROR(__xludf.DUMMYFUNCTION("IMPORTRANGE(""https://docs.google.com/spreadsheets/d/1SX6NBoVAgQJ6U1MVXOaj8PK2l7WJ3RER9xtqwdhxkhw/edit?usp=sharing"",""ปทุมธานี!I405"")"),0.0)</f>
        <v>0</v>
      </c>
      <c r="J510" s="232">
        <f>IFERROR(__xludf.DUMMYFUNCTION("IMPORTRANGE(""https://docs.google.com/spreadsheets/d/1SX6NBoVAgQJ6U1MVXOaj8PK2l7WJ3RER9xtqwdhxkhw/edit?usp=sharing"",""ปทุมธานี!J405"")"),0.0)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IFERROR(__xludf.DUMMYFUNCTION("IMPORTRANGE(""https://docs.google.com/spreadsheets/d/1SX6NBoVAgQJ6U1MVXOaj8PK2l7WJ3RER9xtqwdhxkhw/edit?usp=sharing"",""ปทุมธานี!I406"")"),0.0)</f>
        <v>0</v>
      </c>
      <c r="J511" s="232">
        <f>IFERROR(__xludf.DUMMYFUNCTION("IMPORTRANGE(""https://docs.google.com/spreadsheets/d/1SX6NBoVAgQJ6U1MVXOaj8PK2l7WJ3RER9xtqwdhxkhw/edit?usp=sharing"",""ปทุมธานี!J406"")"),0.0)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IFERROR(__xludf.DUMMYFUNCTION("IMPORTRANGE(""https://docs.google.com/spreadsheets/d/1SX6NBoVAgQJ6U1MVXOaj8PK2l7WJ3RER9xtqwdhxkhw/edit?usp=sharing"",""ปทุมธานี!I407"")"),0.0)</f>
        <v>0</v>
      </c>
      <c r="J512" s="232">
        <f>IFERROR(__xludf.DUMMYFUNCTION("IMPORTRANGE(""https://docs.google.com/spreadsheets/d/1SX6NBoVAgQJ6U1MVXOaj8PK2l7WJ3RER9xtqwdhxkhw/edit?usp=sharing"",""ปทุมธานี!J407"")"),0.0)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IFERROR(__xludf.DUMMYFUNCTION("IMPORTRANGE(""https://docs.google.com/spreadsheets/d/1SX6NBoVAgQJ6U1MVXOaj8PK2l7WJ3RER9xtqwdhxkhw/edit?usp=sharing"",""ปทุมธานี!I408"")"),0.0)</f>
        <v>0</v>
      </c>
      <c r="J513" s="232">
        <f>IFERROR(__xludf.DUMMYFUNCTION("IMPORTRANGE(""https://docs.google.com/spreadsheets/d/1SX6NBoVAgQJ6U1MVXOaj8PK2l7WJ3RER9xtqwdhxkhw/edit?usp=sharing"",""ปทุมธานี!J408"")"),0.0)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IFERROR(__xludf.DUMMYFUNCTION("IMPORTRANGE(""https://docs.google.com/spreadsheets/d/1SX6NBoVAgQJ6U1MVXOaj8PK2l7WJ3RER9xtqwdhxkhw/edit?usp=sharing"",""ปทุมธานี!I409"")"),0.0)</f>
        <v>0</v>
      </c>
      <c r="J514" s="232">
        <f>IFERROR(__xludf.DUMMYFUNCTION("IMPORTRANGE(""https://docs.google.com/spreadsheets/d/1SX6NBoVAgQJ6U1MVXOaj8PK2l7WJ3RER9xtqwdhxkhw/edit?usp=sharing"",""ปทุมธานี!J409"")"),0.0)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IFERROR(__xludf.DUMMYFUNCTION("IMPORTRANGE(""https://docs.google.com/spreadsheets/d/1SX6NBoVAgQJ6U1MVXOaj8PK2l7WJ3RER9xtqwdhxkhw/edit?usp=sharing"",""ปทุมธานี!I410"")"),0.0)</f>
        <v>0</v>
      </c>
      <c r="J515" s="232">
        <f>IFERROR(__xludf.DUMMYFUNCTION("IMPORTRANGE(""https://docs.google.com/spreadsheets/d/1SX6NBoVAgQJ6U1MVXOaj8PK2l7WJ3RER9xtqwdhxkhw/edit?usp=sharing"",""ปทุมธานี!J410"")"),0.0)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IFERROR(__xludf.DUMMYFUNCTION("IMPORTRANGE(""https://docs.google.com/spreadsheets/d/1SX6NBoVAgQJ6U1MVXOaj8PK2l7WJ3RER9xtqwdhxkhw/edit?usp=sharing"",""ปทุมธานี!I411"")"),0.0)</f>
        <v>0</v>
      </c>
      <c r="J516" s="301">
        <f>IFERROR(__xludf.DUMMYFUNCTION("IMPORTRANGE(""https://docs.google.com/spreadsheets/d/1SX6NBoVAgQJ6U1MVXOaj8PK2l7WJ3RER9xtqwdhxkhw/edit?usp=sharing"",""ปทุมธานี!J411"")"),0.0)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IFERROR(__xludf.DUMMYFUNCTION("IMPORTRANGE(""https://docs.google.com/spreadsheets/d/1SX6NBoVAgQJ6U1MVXOaj8PK2l7WJ3RER9xtqwdhxkhw/edit?usp=sharing"",""ปทุมธานี!I412"")"),0.0)</f>
        <v>0</v>
      </c>
      <c r="J517" s="317">
        <f>IFERROR(__xludf.DUMMYFUNCTION("IMPORTRANGE(""https://docs.google.com/spreadsheets/d/1SX6NBoVAgQJ6U1MVXOaj8PK2l7WJ3RER9xtqwdhxkhw/edit?usp=sharing"",""ปทุมธานี!J412"")"),0.0)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IFERROR(__xludf.DUMMYFUNCTION("IMPORTRANGE(""https://docs.google.com/spreadsheets/d/1SX6NBoVAgQJ6U1MVXOaj8PK2l7WJ3RER9xtqwdhxkhw/edit?usp=sharing"",""ปทุมธานี!I413"")"),0.0)</f>
        <v>0</v>
      </c>
      <c r="J518" s="317">
        <f>IFERROR(__xludf.DUMMYFUNCTION("IMPORTRANGE(""https://docs.google.com/spreadsheets/d/1SX6NBoVAgQJ6U1MVXOaj8PK2l7WJ3RER9xtqwdhxkhw/edit?usp=sharing"",""ปทุมธานี!J413"")"),0.0)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IFERROR(__xludf.DUMMYFUNCTION("IMPORTRANGE(""https://docs.google.com/spreadsheets/d/1SX6NBoVAgQJ6U1MVXOaj8PK2l7WJ3RER9xtqwdhxkhw/edit?usp=sharing"",""ปทุมธานี!I414"")"),0.0)</f>
        <v>0</v>
      </c>
      <c r="J519" s="222">
        <f>IFERROR(__xludf.DUMMYFUNCTION("IMPORTRANGE(""https://docs.google.com/spreadsheets/d/1SX6NBoVAgQJ6U1MVXOaj8PK2l7WJ3RER9xtqwdhxkhw/edit?usp=sharing"",""ปทุมธานี!J414"")"),0.0)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IFERROR(__xludf.DUMMYFUNCTION("IMPORTRANGE(""https://docs.google.com/spreadsheets/d/1SX6NBoVAgQJ6U1MVXOaj8PK2l7WJ3RER9xtqwdhxkhw/edit?usp=sharing"",""ปทุมธานี!I415"")"),0.0)</f>
        <v>0</v>
      </c>
      <c r="J520" s="222">
        <f>IFERROR(__xludf.DUMMYFUNCTION("IMPORTRANGE(""https://docs.google.com/spreadsheets/d/1SX6NBoVAgQJ6U1MVXOaj8PK2l7WJ3RER9xtqwdhxkhw/edit?usp=sharing"",""ปทุมธานี!J415"")"),0.0)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IFERROR(__xludf.DUMMYFUNCTION("IMPORTRANGE(""https://docs.google.com/spreadsheets/d/1SX6NBoVAgQJ6U1MVXOaj8PK2l7WJ3RER9xtqwdhxkhw/edit?usp=sharing"",""ปทุมธานี!I416"")"),0.0)</f>
        <v>0</v>
      </c>
      <c r="J521" s="222">
        <f>IFERROR(__xludf.DUMMYFUNCTION("IMPORTRANGE(""https://docs.google.com/spreadsheets/d/1SX6NBoVAgQJ6U1MVXOaj8PK2l7WJ3RER9xtqwdhxkhw/edit?usp=sharing"",""ปทุมธานี!J416"")"),0.0)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IFERROR(__xludf.DUMMYFUNCTION("IMPORTRANGE(""https://docs.google.com/spreadsheets/d/1SX6NBoVAgQJ6U1MVXOaj8PK2l7WJ3RER9xtqwdhxkhw/edit?usp=sharing"",""ปทุมธานี!I417"")"),0.0)</f>
        <v>0</v>
      </c>
      <c r="J522" s="222">
        <f>IFERROR(__xludf.DUMMYFUNCTION("IMPORTRANGE(""https://docs.google.com/spreadsheets/d/1SX6NBoVAgQJ6U1MVXOaj8PK2l7WJ3RER9xtqwdhxkhw/edit?usp=sharing"",""ปทุมธานี!J417"")"),0.0)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IFERROR(__xludf.DUMMYFUNCTION("IMPORTRANGE(""https://docs.google.com/spreadsheets/d/1SX6NBoVAgQJ6U1MVXOaj8PK2l7WJ3RER9xtqwdhxkhw/edit?usp=sharing"",""ปทุมธานี!I418"")"),0.0)</f>
        <v>0</v>
      </c>
      <c r="J523" s="222">
        <f>IFERROR(__xludf.DUMMYFUNCTION("IMPORTRANGE(""https://docs.google.com/spreadsheets/d/1SX6NBoVAgQJ6U1MVXOaj8PK2l7WJ3RER9xtqwdhxkhw/edit?usp=sharing"",""ปทุมธานี!J418"")"),0.0)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IFERROR(__xludf.DUMMYFUNCTION("IMPORTRANGE(""https://docs.google.com/spreadsheets/d/1SX6NBoVAgQJ6U1MVXOaj8PK2l7WJ3RER9xtqwdhxkhw/edit?usp=sharing"",""ปทุมธานี!I419"")"),0.0)</f>
        <v>0</v>
      </c>
      <c r="J524" s="222">
        <f>IFERROR(__xludf.DUMMYFUNCTION("IMPORTRANGE(""https://docs.google.com/spreadsheets/d/1SX6NBoVAgQJ6U1MVXOaj8PK2l7WJ3RER9xtqwdhxkhw/edit?usp=sharing"",""ปทุมธานี!J419"")"),0.0)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IFERROR(__xludf.DUMMYFUNCTION("IMPORTRANGE(""https://docs.google.com/spreadsheets/d/1SX6NBoVAgQJ6U1MVXOaj8PK2l7WJ3RER9xtqwdhxkhw/edit?usp=sharing"",""ปทุมธานี!I420"")"),0.0)</f>
        <v>0</v>
      </c>
      <c r="J525" s="317">
        <f>IFERROR(__xludf.DUMMYFUNCTION("IMPORTRANGE(""https://docs.google.com/spreadsheets/d/1SX6NBoVAgQJ6U1MVXOaj8PK2l7WJ3RER9xtqwdhxkhw/edit?usp=sharing"",""ปทุมธานี!J420"")"),0.0)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IFERROR(__xludf.DUMMYFUNCTION("IMPORTRANGE(""https://docs.google.com/spreadsheets/d/1SX6NBoVAgQJ6U1MVXOaj8PK2l7WJ3RER9xtqwdhxkhw/edit?usp=sharing"",""ปทุมธานี!I421"")"),0.0)</f>
        <v>0</v>
      </c>
      <c r="J526" s="317">
        <f>IFERROR(__xludf.DUMMYFUNCTION("IMPORTRANGE(""https://docs.google.com/spreadsheets/d/1SX6NBoVAgQJ6U1MVXOaj8PK2l7WJ3RER9xtqwdhxkhw/edit?usp=sharing"",""ปทุมธานี!J421"")"),0.0)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IFERROR(__xludf.DUMMYFUNCTION("IMPORTRANGE(""https://docs.google.com/spreadsheets/d/1SX6NBoVAgQJ6U1MVXOaj8PK2l7WJ3RER9xtqwdhxkhw/edit?usp=sharing"",""ปทุมธานี!I422"")"),0.0)</f>
        <v>0</v>
      </c>
      <c r="J527" s="232">
        <f>IFERROR(__xludf.DUMMYFUNCTION("IMPORTRANGE(""https://docs.google.com/spreadsheets/d/1SX6NBoVAgQJ6U1MVXOaj8PK2l7WJ3RER9xtqwdhxkhw/edit?usp=sharing"",""ปทุมธานี!J422"")"),0.0)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IFERROR(__xludf.DUMMYFUNCTION("IMPORTRANGE(""https://docs.google.com/spreadsheets/d/1SX6NBoVAgQJ6U1MVXOaj8PK2l7WJ3RER9xtqwdhxkhw/edit?usp=sharing"",""ปทุมธานี!I423"")"),0.0)</f>
        <v>0</v>
      </c>
      <c r="J528" s="232">
        <f>IFERROR(__xludf.DUMMYFUNCTION("IMPORTRANGE(""https://docs.google.com/spreadsheets/d/1SX6NBoVAgQJ6U1MVXOaj8PK2l7WJ3RER9xtqwdhxkhw/edit?usp=sharing"",""ปทุมธานี!J423"")"),0.0)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IFERROR(__xludf.DUMMYFUNCTION("IMPORTRANGE(""https://docs.google.com/spreadsheets/d/1SX6NBoVAgQJ6U1MVXOaj8PK2l7WJ3RER9xtqwdhxkhw/edit?usp=sharing"",""ปทุมธานี!I424"")"),0.0)</f>
        <v>0</v>
      </c>
      <c r="J529" s="232">
        <f>IFERROR(__xludf.DUMMYFUNCTION("IMPORTRANGE(""https://docs.google.com/spreadsheets/d/1SX6NBoVAgQJ6U1MVXOaj8PK2l7WJ3RER9xtqwdhxkhw/edit?usp=sharing"",""ปทุมธานี!J424"")"),0.0)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IFERROR(__xludf.DUMMYFUNCTION("IMPORTRANGE(""https://docs.google.com/spreadsheets/d/1SX6NBoVAgQJ6U1MVXOaj8PK2l7WJ3RER9xtqwdhxkhw/edit?usp=sharing"",""ปทุมธานี!I425"")"),0.0)</f>
        <v>0</v>
      </c>
      <c r="J530" s="232">
        <f>IFERROR(__xludf.DUMMYFUNCTION("IMPORTRANGE(""https://docs.google.com/spreadsheets/d/1SX6NBoVAgQJ6U1MVXOaj8PK2l7WJ3RER9xtqwdhxkhw/edit?usp=sharing"",""ปทุมธานี!J425"")"),0.0)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IFERROR(__xludf.DUMMYFUNCTION("IMPORTRANGE(""https://docs.google.com/spreadsheets/d/1SX6NBoVAgQJ6U1MVXOaj8PK2l7WJ3RER9xtqwdhxkhw/edit?usp=sharing"",""ปทุมธานี!I426"")"),0.0)</f>
        <v>0</v>
      </c>
      <c r="J531" s="232">
        <f>IFERROR(__xludf.DUMMYFUNCTION("IMPORTRANGE(""https://docs.google.com/spreadsheets/d/1SX6NBoVAgQJ6U1MVXOaj8PK2l7WJ3RER9xtqwdhxkhw/edit?usp=sharing"",""ปทุมธานี!J426"")"),0.0)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IFERROR(__xludf.DUMMYFUNCTION("IMPORTRANGE(""https://docs.google.com/spreadsheets/d/1SX6NBoVAgQJ6U1MVXOaj8PK2l7WJ3RER9xtqwdhxkhw/edit?usp=sharing"",""ปทุมธานี!I427"")"),0.0)</f>
        <v>0</v>
      </c>
      <c r="J532" s="499">
        <f>IFERROR(__xludf.DUMMYFUNCTION("IMPORTRANGE(""https://docs.google.com/spreadsheets/d/1SX6NBoVAgQJ6U1MVXOaj8PK2l7WJ3RER9xtqwdhxkhw/edit?usp=sharing"",""ปทุมธานี!J427"")"),0.0)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IFERROR(__xludf.DUMMYFUNCTION("IMPORTRANGE(""https://docs.google.com/spreadsheets/d/1SX6NBoVAgQJ6U1MVXOaj8PK2l7WJ3RER9xtqwdhxkhw/edit?usp=sharing"",""ปทุมธานี!I428"")"),22.0)</f>
        <v>22</v>
      </c>
      <c r="J533" s="443">
        <f>IFERROR(__xludf.DUMMYFUNCTION("IMPORTRANGE(""https://docs.google.com/spreadsheets/d/1SX6NBoVAgQJ6U1MVXOaj8PK2l7WJ3RER9xtqwdhxkhw/edit?usp=sharing"",""ปทุมธานี!J428"")"),22.0)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IFERROR(__xludf.DUMMYFUNCTION("IMPORTRANGE(""https://docs.google.com/spreadsheets/d/1SX6NBoVAgQJ6U1MVXOaj8PK2l7WJ3RER9xtqwdhxkhw/edit?usp=sharing"",""ปทุมธานี!L428"")"),34340.0)</f>
        <v>34340</v>
      </c>
      <c r="M533" s="445"/>
      <c r="N533" s="445">
        <f>IFERROR(__xludf.DUMMYFUNCTION("IMPORTRANGE(""https://docs.google.com/spreadsheets/d/1SX6NBoVAgQJ6U1MVXOaj8PK2l7WJ3RER9xtqwdhxkhw/edit?usp=sharing"",""ปทุมธานี!M428"")"),22527.02)</f>
        <v>22527.02</v>
      </c>
      <c r="O533" s="445">
        <f t="shared" ref="O533:O537" si="119">+IF(L533&gt;0,N533*100/L533,0)</f>
        <v>65.59994176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IFERROR(__xludf.DUMMYFUNCTION("IMPORTRANGE(""https://docs.google.com/spreadsheets/d/1SX6NBoVAgQJ6U1MVXOaj8PK2l7WJ3RER9xtqwdhxkhw/edit?usp=sharing"",""ปทุมธานี!L429"")"),0.0)</f>
        <v>0</v>
      </c>
      <c r="M534" s="197"/>
      <c r="N534" s="203">
        <f>IFERROR(__xludf.DUMMYFUNCTION("IMPORTRANGE(""https://docs.google.com/spreadsheets/d/1SX6NBoVAgQJ6U1MVXOaj8PK2l7WJ3RER9xtqwdhxkhw/edit?usp=sharing"",""ปทุมธานี!M429"")"),0.0)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IFERROR(__xludf.DUMMYFUNCTION("IMPORTRANGE(""https://docs.google.com/spreadsheets/d/1SX6NBoVAgQJ6U1MVXOaj8PK2l7WJ3RER9xtqwdhxkhw/edit?usp=sharing"",""ปทุมธานี!L430"")"),34340.0)</f>
        <v>34340</v>
      </c>
      <c r="M535" s="198"/>
      <c r="N535" s="203">
        <f>IFERROR(__xludf.DUMMYFUNCTION("IMPORTRANGE(""https://docs.google.com/spreadsheets/d/1SX6NBoVAgQJ6U1MVXOaj8PK2l7WJ3RER9xtqwdhxkhw/edit?usp=sharing"",""ปทุมธานี!M430"")"),22527.02)</f>
        <v>22527.02</v>
      </c>
      <c r="O535" s="203">
        <f t="shared" si="119"/>
        <v>65.59994176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IFERROR(__xludf.DUMMYFUNCTION("IMPORTRANGE(""https://docs.google.com/spreadsheets/d/1SX6NBoVAgQJ6U1MVXOaj8PK2l7WJ3RER9xtqwdhxkhw/edit?usp=sharing"",""ปทุมธานี!L431"")"),0.0)</f>
        <v>0</v>
      </c>
      <c r="M536" s="203"/>
      <c r="N536" s="203">
        <f>IFERROR(__xludf.DUMMYFUNCTION("IMPORTRANGE(""https://docs.google.com/spreadsheets/d/1SX6NBoVAgQJ6U1MVXOaj8PK2l7WJ3RER9xtqwdhxkhw/edit?usp=sharing"",""ปทุมธานี!M431"")"),0.0)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IFERROR(__xludf.DUMMYFUNCTION("IMPORTRANGE(""https://docs.google.com/spreadsheets/d/1SX6NBoVAgQJ6U1MVXOaj8PK2l7WJ3RER9xtqwdhxkhw/edit?usp=sharing"",""ปทุมธานี!L432"")"),34340.0)</f>
        <v>34340</v>
      </c>
      <c r="M537" s="203"/>
      <c r="N537" s="203">
        <f>IFERROR(__xludf.DUMMYFUNCTION("IMPORTRANGE(""https://docs.google.com/spreadsheets/d/1SX6NBoVAgQJ6U1MVXOaj8PK2l7WJ3RER9xtqwdhxkhw/edit?usp=sharing"",""ปทุมธานี!M432"")"),22527.02)</f>
        <v>22527.02</v>
      </c>
      <c r="O537" s="203">
        <f t="shared" si="119"/>
        <v>65.59994176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IFERROR(__xludf.DUMMYFUNCTION("IMPORTRANGE(""https://docs.google.com/spreadsheets/d/1SX6NBoVAgQJ6U1MVXOaj8PK2l7WJ3RER9xtqwdhxkhw/edit?usp=sharing"",""ปทุมธานี!M433"")"),14700.0)</f>
        <v>14700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IFERROR(__xludf.DUMMYFUNCTION("IMPORTRANGE(""https://docs.google.com/spreadsheets/d/1SX6NBoVAgQJ6U1MVXOaj8PK2l7WJ3RER9xtqwdhxkhw/edit?usp=sharing"",""ปทุมธานี!M434"")"),0.0)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IFERROR(__xludf.DUMMYFUNCTION("IMPORTRANGE(""https://docs.google.com/spreadsheets/d/1SX6NBoVAgQJ6U1MVXOaj8PK2l7WJ3RER9xtqwdhxkhw/edit?usp=sharing"",""ปทุมธานี!M435"")"),0.0)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IFERROR(__xludf.DUMMYFUNCTION("IMPORTRANGE(""https://docs.google.com/spreadsheets/d/1SX6NBoVAgQJ6U1MVXOaj8PK2l7WJ3RER9xtqwdhxkhw/edit?usp=sharing"",""ปทุมธานี!M436"")"),7827.02)</f>
        <v>7827.02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IFERROR(__xludf.DUMMYFUNCTION("IMPORTRANGE(""https://docs.google.com/spreadsheets/d/1SX6NBoVAgQJ6U1MVXOaj8PK2l7WJ3RER9xtqwdhxkhw/edit?usp=sharing"",""ปทุมธานี!J438"")"),0.0)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IFERROR(__xludf.DUMMYFUNCTION("IMPORTRANGE(""https://docs.google.com/spreadsheets/d/1SX6NBoVAgQJ6U1MVXOaj8PK2l7WJ3RER9xtqwdhxkhw/edit?usp=sharing"",""ปทุมธานี!J439"")"),1.0)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IFERROR(__xludf.DUMMYFUNCTION("IMPORTRANGE(""https://docs.google.com/spreadsheets/d/1SX6NBoVAgQJ6U1MVXOaj8PK2l7WJ3RER9xtqwdhxkhw/edit?usp=sharing"",""ปทุมธานี!J440"")"),1.0)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IFERROR(__xludf.DUMMYFUNCTION("IMPORTRANGE(""https://docs.google.com/spreadsheets/d/1SX6NBoVAgQJ6U1MVXOaj8PK2l7WJ3RER9xtqwdhxkhw/edit?usp=sharing"",""ปทุมธานี!J441"")"),1.0)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IFERROR(__xludf.DUMMYFUNCTION("IMPORTRANGE(""https://docs.google.com/spreadsheets/d/1SX6NBoVAgQJ6U1MVXOaj8PK2l7WJ3RER9xtqwdhxkhw/edit?usp=sharing"",""ปทุมธานี!I442"")"),22.0)</f>
        <v>22</v>
      </c>
      <c r="J547" s="223">
        <f>IFERROR(__xludf.DUMMYFUNCTION("IMPORTRANGE(""https://docs.google.com/spreadsheets/d/1SX6NBoVAgQJ6U1MVXOaj8PK2l7WJ3RER9xtqwdhxkhw/edit?usp=sharing"",""ปทุมธานี!J442"")"),22.0)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IFERROR(__xludf.DUMMYFUNCTION("IMPORTRANGE(""https://docs.google.com/spreadsheets/d/1SX6NBoVAgQJ6U1MVXOaj8PK2l7WJ3RER9xtqwdhxkhw/edit?usp=sharing"",""ปทุมธานี!J166"")"),0.0)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IFERROR(__xludf.DUMMYFUNCTION("IMPORTRANGE(""https://docs.google.com/spreadsheets/d/1SX6NBoVAgQJ6U1MVXOaj8PK2l7WJ3RER9xtqwdhxkhw/edit?usp=sharing"",""ปทุมธานี!J444"")"),0.0)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IFERROR(__xludf.DUMMYFUNCTION("IMPORTRANGE(""https://docs.google.com/spreadsheets/d/1SX6NBoVAgQJ6U1MVXOaj8PK2l7WJ3RER9xtqwdhxkhw/edit?usp=sharing"",""ปทุมธานี!J445"")"),0.0)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IFERROR(__xludf.DUMMYFUNCTION("IMPORTRANGE(""https://docs.google.com/spreadsheets/d/1SX6NBoVAgQJ6U1MVXOaj8PK2l7WJ3RER9xtqwdhxkhw/edit?usp=sharing"",""ปทุมธานี!I446"")"),0.0)</f>
        <v>0</v>
      </c>
      <c r="J551" s="443">
        <f>IFERROR(__xludf.DUMMYFUNCTION("IMPORTRANGE(""https://docs.google.com/spreadsheets/d/1SX6NBoVAgQJ6U1MVXOaj8PK2l7WJ3RER9xtqwdhxkhw/edit?usp=sharing"",""ปทุมธานี!J446"")"),0.0)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IFERROR(__xludf.DUMMYFUNCTION("IMPORTRANGE(""https://docs.google.com/spreadsheets/d/1SX6NBoVAgQJ6U1MVXOaj8PK2l7WJ3RER9xtqwdhxkhw/edit?usp=sharing"",""ปทุมธานี!L446"")"),0.0)</f>
        <v>0</v>
      </c>
      <c r="M551" s="445"/>
      <c r="N551" s="445">
        <f>IFERROR(__xludf.DUMMYFUNCTION("IMPORTRANGE(""https://docs.google.com/spreadsheets/d/1SX6NBoVAgQJ6U1MVXOaj8PK2l7WJ3RER9xtqwdhxkhw/edit?usp=sharing"",""ปทุมธานี!M446"")"),0.0)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IFERROR(__xludf.DUMMYFUNCTION("IMPORTRANGE(""https://docs.google.com/spreadsheets/d/1SX6NBoVAgQJ6U1MVXOaj8PK2l7WJ3RER9xtqwdhxkhw/edit?usp=sharing"",""ปทุมธานี!L447"")"),0.0)</f>
        <v>0</v>
      </c>
      <c r="M552" s="197"/>
      <c r="N552" s="203">
        <f>IFERROR(__xludf.DUMMYFUNCTION("IMPORTRANGE(""https://docs.google.com/spreadsheets/d/1SX6NBoVAgQJ6U1MVXOaj8PK2l7WJ3RER9xtqwdhxkhw/edit?usp=sharing"",""ปทุมธานี!M447"")"),0.0)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IFERROR(__xludf.DUMMYFUNCTION("IMPORTRANGE(""https://docs.google.com/spreadsheets/d/1SX6NBoVAgQJ6U1MVXOaj8PK2l7WJ3RER9xtqwdhxkhw/edit?usp=sharing"",""ปทุมธานี!L448"")"),0.0)</f>
        <v>0</v>
      </c>
      <c r="M553" s="198"/>
      <c r="N553" s="203">
        <f>IFERROR(__xludf.DUMMYFUNCTION("IMPORTRANGE(""https://docs.google.com/spreadsheets/d/1SX6NBoVAgQJ6U1MVXOaj8PK2l7WJ3RER9xtqwdhxkhw/edit?usp=sharing"",""ปทุมธานี!M448"")"),0.0)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IFERROR(__xludf.DUMMYFUNCTION("IMPORTRANGE(""https://docs.google.com/spreadsheets/d/1SX6NBoVAgQJ6U1MVXOaj8PK2l7WJ3RER9xtqwdhxkhw/edit?usp=sharing"",""ปทุมธานี!L449"")"),0.0)</f>
        <v>0</v>
      </c>
      <c r="M554" s="203"/>
      <c r="N554" s="203">
        <f>IFERROR(__xludf.DUMMYFUNCTION("IMPORTRANGE(""https://docs.google.com/spreadsheets/d/1SX6NBoVAgQJ6U1MVXOaj8PK2l7WJ3RER9xtqwdhxkhw/edit?usp=sharing"",""ปทุมธานี!M449"")"),0.0)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IFERROR(__xludf.DUMMYFUNCTION("IMPORTRANGE(""https://docs.google.com/spreadsheets/d/1SX6NBoVAgQJ6U1MVXOaj8PK2l7WJ3RER9xtqwdhxkhw/edit?usp=sharing"",""ปทุมธานี!L450"")"),0.0)</f>
        <v>0</v>
      </c>
      <c r="M555" s="203"/>
      <c r="N555" s="203">
        <f>IFERROR(__xludf.DUMMYFUNCTION("IMPORTRANGE(""https://docs.google.com/spreadsheets/d/1SX6NBoVAgQJ6U1MVXOaj8PK2l7WJ3RER9xtqwdhxkhw/edit?usp=sharing"",""ปทุมธานี!M450"")"),0.0)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IFERROR(__xludf.DUMMYFUNCTION("IMPORTRANGE(""https://docs.google.com/spreadsheets/d/1SX6NBoVAgQJ6U1MVXOaj8PK2l7WJ3RER9xtqwdhxkhw/edit?usp=sharing"",""ปทุมธานี!M451"")"),0.0)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IFERROR(__xludf.DUMMYFUNCTION("IMPORTRANGE(""https://docs.google.com/spreadsheets/d/1SX6NBoVAgQJ6U1MVXOaj8PK2l7WJ3RER9xtqwdhxkhw/edit?usp=sharing"",""ปทุมธานี!M452"")"),0.0)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IFERROR(__xludf.DUMMYFUNCTION("IMPORTRANGE(""https://docs.google.com/spreadsheets/d/1SX6NBoVAgQJ6U1MVXOaj8PK2l7WJ3RER9xtqwdhxkhw/edit?usp=sharing"",""ปทุมธานี!M453"")"),0.0)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IFERROR(__xludf.DUMMYFUNCTION("IMPORTRANGE(""https://docs.google.com/spreadsheets/d/1SX6NBoVAgQJ6U1MVXOaj8PK2l7WJ3RER9xtqwdhxkhw/edit?usp=sharing"",""ปทุมธานี!M454"")"),0.0)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IFERROR(__xludf.DUMMYFUNCTION("IMPORTRANGE(""https://docs.google.com/spreadsheets/d/1SX6NBoVAgQJ6U1MVXOaj8PK2l7WJ3RER9xtqwdhxkhw/edit?usp=sharing"",""ปทุมธานี!I455"")"),0.0)</f>
        <v>0</v>
      </c>
      <c r="J560" s="195">
        <f>IFERROR(__xludf.DUMMYFUNCTION("IMPORTRANGE(""https://docs.google.com/spreadsheets/d/1SX6NBoVAgQJ6U1MVXOaj8PK2l7WJ3RER9xtqwdhxkhw/edit?usp=sharing"",""ปทุมธานี!J455"")"),0.0)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IFERROR(__xludf.DUMMYFUNCTION("IMPORTRANGE(""https://docs.google.com/spreadsheets/d/1SX6NBoVAgQJ6U1MVXOaj8PK2l7WJ3RER9xtqwdhxkhw/edit?usp=sharing"",""ปทุมธานี!I456"")"),0.0)</f>
        <v>0</v>
      </c>
      <c r="J561" s="238">
        <f>IFERROR(__xludf.DUMMYFUNCTION("IMPORTRANGE(""https://docs.google.com/spreadsheets/d/1SX6NBoVAgQJ6U1MVXOaj8PK2l7WJ3RER9xtqwdhxkhw/edit?usp=sharing"",""ปทุมธานี!J456"")"),0.0)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IFERROR(__xludf.DUMMYFUNCTION("IMPORTRANGE(""https://docs.google.com/spreadsheets/d/1SX6NBoVAgQJ6U1MVXOaj8PK2l7WJ3RER9xtqwdhxkhw/edit?usp=sharing"",""ปทุมธานี!I457"")"),"")</f>
        <v/>
      </c>
      <c r="J562" s="238" t="str">
        <f>IFERROR(__xludf.DUMMYFUNCTION("IMPORTRANGE(""https://docs.google.com/spreadsheets/d/1SX6NBoVAgQJ6U1MVXOaj8PK2l7WJ3RER9xtqwdhxkhw/edit?usp=sharing"",""ปทุมธานี!J457"")"),"")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IFERROR(__xludf.DUMMYFUNCTION("IMPORTRANGE(""https://docs.google.com/spreadsheets/d/1SX6NBoVAgQJ6U1MVXOaj8PK2l7WJ3RER9xtqwdhxkhw/edit?usp=sharing"",""ปทุมธานี!I458"")"),"")</f>
        <v/>
      </c>
      <c r="J563" s="222" t="str">
        <f>IFERROR(__xludf.DUMMYFUNCTION("IMPORTRANGE(""https://docs.google.com/spreadsheets/d/1SX6NBoVAgQJ6U1MVXOaj8PK2l7WJ3RER9xtqwdhxkhw/edit?usp=sharing"",""ปทุมธานี!J458"")"),"")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IFERROR(__xludf.DUMMYFUNCTION("IMPORTRANGE(""https://docs.google.com/spreadsheets/d/1SX6NBoVAgQJ6U1MVXOaj8PK2l7WJ3RER9xtqwdhxkhw/edit?usp=sharing"",""ปทุมธานี!I459"")"),200.0)</f>
        <v>200</v>
      </c>
      <c r="J564" s="404">
        <f>IFERROR(__xludf.DUMMYFUNCTION("IMPORTRANGE(""https://docs.google.com/spreadsheets/d/1SX6NBoVAgQJ6U1MVXOaj8PK2l7WJ3RER9xtqwdhxkhw/edit?usp=sharing"",""ปทุมธานี!J459"")"),318.0)</f>
        <v>318</v>
      </c>
      <c r="K564" s="405">
        <f t="shared" si="122"/>
        <v>159</v>
      </c>
      <c r="L564" s="406">
        <f>IFERROR(__xludf.DUMMYFUNCTION("IMPORTRANGE(""https://docs.google.com/spreadsheets/d/1SX6NBoVAgQJ6U1MVXOaj8PK2l7WJ3RER9xtqwdhxkhw/edit?usp=sharing"",""ปทุมธานี!L459"")"),126080.0)</f>
        <v>126080</v>
      </c>
      <c r="M564" s="406"/>
      <c r="N564" s="406">
        <f>IFERROR(__xludf.DUMMYFUNCTION("IMPORTRANGE(""https://docs.google.com/spreadsheets/d/1SX6NBoVAgQJ6U1MVXOaj8PK2l7WJ3RER9xtqwdhxkhw/edit?usp=sharing"",""ปทุมธานี!M459"")"),22000.0)</f>
        <v>22000</v>
      </c>
      <c r="O564" s="406">
        <f t="shared" ref="O564:O568" si="123">+IF(L564&gt;0,N564*100/L564,0)</f>
        <v>17.44923858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IFERROR(__xludf.DUMMYFUNCTION("IMPORTRANGE(""https://docs.google.com/spreadsheets/d/1SX6NBoVAgQJ6U1MVXOaj8PK2l7WJ3RER9xtqwdhxkhw/edit?usp=sharing"",""ปทุมธานี!L460"")"),0.0)</f>
        <v>0</v>
      </c>
      <c r="M565" s="197"/>
      <c r="N565" s="203">
        <f>IFERROR(__xludf.DUMMYFUNCTION("IMPORTRANGE(""https://docs.google.com/spreadsheets/d/1SX6NBoVAgQJ6U1MVXOaj8PK2l7WJ3RER9xtqwdhxkhw/edit?usp=sharing"",""ปทุมธานี!M460"")"),0.0)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IFERROR(__xludf.DUMMYFUNCTION("IMPORTRANGE(""https://docs.google.com/spreadsheets/d/1SX6NBoVAgQJ6U1MVXOaj8PK2l7WJ3RER9xtqwdhxkhw/edit?usp=sharing"",""ปทุมธานี!L461"")"),126080.0)</f>
        <v>126080</v>
      </c>
      <c r="M566" s="198"/>
      <c r="N566" s="203">
        <f>IFERROR(__xludf.DUMMYFUNCTION("IMPORTRANGE(""https://docs.google.com/spreadsheets/d/1SX6NBoVAgQJ6U1MVXOaj8PK2l7WJ3RER9xtqwdhxkhw/edit?usp=sharing"",""ปทุมธานี!M461"")"),22000.0)</f>
        <v>22000</v>
      </c>
      <c r="O566" s="203">
        <f t="shared" si="123"/>
        <v>17.44923858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IFERROR(__xludf.DUMMYFUNCTION("IMPORTRANGE(""https://docs.google.com/spreadsheets/d/1SX6NBoVAgQJ6U1MVXOaj8PK2l7WJ3RER9xtqwdhxkhw/edit?usp=sharing"",""ปทุมธานี!L462"")"),0.0)</f>
        <v>0</v>
      </c>
      <c r="M567" s="203"/>
      <c r="N567" s="203">
        <f>IFERROR(__xludf.DUMMYFUNCTION("IMPORTRANGE(""https://docs.google.com/spreadsheets/d/1SX6NBoVAgQJ6U1MVXOaj8PK2l7WJ3RER9xtqwdhxkhw/edit?usp=sharing"",""ปทุมธานี!M462"")"),0.0)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IFERROR(__xludf.DUMMYFUNCTION("IMPORTRANGE(""https://docs.google.com/spreadsheets/d/1SX6NBoVAgQJ6U1MVXOaj8PK2l7WJ3RER9xtqwdhxkhw/edit?usp=sharing"",""ปทุมธานี!L463"")"),126080.0)</f>
        <v>126080</v>
      </c>
      <c r="M568" s="203"/>
      <c r="N568" s="203">
        <f>IFERROR(__xludf.DUMMYFUNCTION("IMPORTRANGE(""https://docs.google.com/spreadsheets/d/1SX6NBoVAgQJ6U1MVXOaj8PK2l7WJ3RER9xtqwdhxkhw/edit?usp=sharing"",""ปทุมธานี!M463"")"),22000.0)</f>
        <v>22000</v>
      </c>
      <c r="O568" s="203">
        <f t="shared" si="123"/>
        <v>17.44923858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IFERROR(__xludf.DUMMYFUNCTION("IMPORTRANGE(""https://docs.google.com/spreadsheets/d/1SX6NBoVAgQJ6U1MVXOaj8PK2l7WJ3RER9xtqwdhxkhw/edit?usp=sharing"",""ปทุมธานี!M464"")"),0.0)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IFERROR(__xludf.DUMMYFUNCTION("IMPORTRANGE(""https://docs.google.com/spreadsheets/d/1SX6NBoVAgQJ6U1MVXOaj8PK2l7WJ3RER9xtqwdhxkhw/edit?usp=sharing"",""ปทุมธานี!M465"")"),0.0)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IFERROR(__xludf.DUMMYFUNCTION("IMPORTRANGE(""https://docs.google.com/spreadsheets/d/1SX6NBoVAgQJ6U1MVXOaj8PK2l7WJ3RER9xtqwdhxkhw/edit?usp=sharing"",""ปทุมธานี!M466"")"),22000.0)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IFERROR(__xludf.DUMMYFUNCTION("IMPORTRANGE(""https://docs.google.com/spreadsheets/d/1SX6NBoVAgQJ6U1MVXOaj8PK2l7WJ3RER9xtqwdhxkhw/edit?usp=sharing"",""ปทุมธานี!M467"")"),0.0)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IFERROR(__xludf.DUMMYFUNCTION("IMPORTRANGE(""https://docs.google.com/spreadsheets/d/1SX6NBoVAgQJ6U1MVXOaj8PK2l7WJ3RER9xtqwdhxkhw/edit?usp=sharing"",""ปทุมธานี!I468"")"),200.0)</f>
        <v>200</v>
      </c>
      <c r="J573" s="453">
        <f>IFERROR(__xludf.DUMMYFUNCTION("IMPORTRANGE(""https://docs.google.com/spreadsheets/d/1SX6NBoVAgQJ6U1MVXOaj8PK2l7WJ3RER9xtqwdhxkhw/edit?usp=sharing"",""ปทุมธานี!J468"")"),318.0)</f>
        <v>318</v>
      </c>
      <c r="K573" s="236">
        <f>IF(I573&gt;0,J573*100/I573,0)</f>
        <v>159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IFERROR(__xludf.DUMMYFUNCTION("IMPORTRANGE(""https://docs.google.com/spreadsheets/d/1SX6NBoVAgQJ6U1MVXOaj8PK2l7WJ3RER9xtqwdhxkhw/edit?usp=sharing"",""ปทุมธานี!I470"")"),0.0)</f>
        <v>0</v>
      </c>
      <c r="J575" s="232">
        <f>IFERROR(__xludf.DUMMYFUNCTION("IMPORTRANGE(""https://docs.google.com/spreadsheets/d/1SX6NBoVAgQJ6U1MVXOaj8PK2l7WJ3RER9xtqwdhxkhw/edit?usp=sharing"",""ปทุมธานี!J470"")"),0.0)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IFERROR(__xludf.DUMMYFUNCTION("IMPORTRANGE(""https://docs.google.com/spreadsheets/d/1SX6NBoVAgQJ6U1MVXOaj8PK2l7WJ3RER9xtqwdhxkhw/edit?usp=sharing"",""ปทุมธานี!I471"")"),0.0)</f>
        <v>0</v>
      </c>
      <c r="J576" s="232">
        <f>IFERROR(__xludf.DUMMYFUNCTION("IMPORTRANGE(""https://docs.google.com/spreadsheets/d/1SX6NBoVAgQJ6U1MVXOaj8PK2l7WJ3RER9xtqwdhxkhw/edit?usp=sharing"",""ปทุมธานี!J471"")"),0.0)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IFERROR(__xludf.DUMMYFUNCTION("IMPORTRANGE(""https://docs.google.com/spreadsheets/d/1SX6NBoVAgQJ6U1MVXOaj8PK2l7WJ3RER9xtqwdhxkhw/edit?usp=sharing"",""ปทุมธานี!I472"")"),0.0)</f>
        <v>0</v>
      </c>
      <c r="J577" s="223">
        <f>IFERROR(__xludf.DUMMYFUNCTION("IMPORTRANGE(""https://docs.google.com/spreadsheets/d/1SX6NBoVAgQJ6U1MVXOaj8PK2l7WJ3RER9xtqwdhxkhw/edit?usp=sharing"",""ปทุมธานี!J472"")"),318.0)</f>
        <v>318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IFERROR(__xludf.DUMMYFUNCTION("IMPORTRANGE(""https://docs.google.com/spreadsheets/d/1SX6NBoVAgQJ6U1MVXOaj8PK2l7WJ3RER9xtqwdhxkhw/edit?usp=sharing"",""ปทุมธานี!I473"")"),0.0)</f>
        <v>0</v>
      </c>
      <c r="J578" s="232">
        <f>IFERROR(__xludf.DUMMYFUNCTION("IMPORTRANGE(""https://docs.google.com/spreadsheets/d/1SX6NBoVAgQJ6U1MVXOaj8PK2l7WJ3RER9xtqwdhxkhw/edit?usp=sharing"",""ปทุมธานี!J473"")"),0.0)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IFERROR(__xludf.DUMMYFUNCTION("IMPORTRANGE(""https://docs.google.com/spreadsheets/d/1SX6NBoVAgQJ6U1MVXOaj8PK2l7WJ3RER9xtqwdhxkhw/edit?usp=sharing"",""ปทุมธานี!I474"")"),0.0)</f>
        <v>0</v>
      </c>
      <c r="J579" s="232">
        <f>IFERROR(__xludf.DUMMYFUNCTION("IMPORTRANGE(""https://docs.google.com/spreadsheets/d/1SX6NBoVAgQJ6U1MVXOaj8PK2l7WJ3RER9xtqwdhxkhw/edit?usp=sharing"",""ปทุมธานี!J474"")"),0.0)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IFERROR(__xludf.DUMMYFUNCTION("IMPORTRANGE(""https://docs.google.com/spreadsheets/d/1SX6NBoVAgQJ6U1MVXOaj8PK2l7WJ3RER9xtqwdhxkhw/edit?usp=sharing"",""ปทุมธานี!I475"")"),0.0)</f>
        <v>0</v>
      </c>
      <c r="J580" s="404">
        <f>IFERROR(__xludf.DUMMYFUNCTION("IMPORTRANGE(""https://docs.google.com/spreadsheets/d/1SX6NBoVAgQJ6U1MVXOaj8PK2l7WJ3RER9xtqwdhxkhw/edit?usp=sharing"",""ปทุมธานี!J475"")"),0.0)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IFERROR(__xludf.DUMMYFUNCTION("IMPORTRANGE(""https://docs.google.com/spreadsheets/d/1SX6NBoVAgQJ6U1MVXOaj8PK2l7WJ3RER9xtqwdhxkhw/edit?usp=sharing"",""ปทุมธานี!L475"")"),0.0)</f>
        <v>0</v>
      </c>
      <c r="M580" s="406"/>
      <c r="N580" s="406">
        <f>IFERROR(__xludf.DUMMYFUNCTION("IMPORTRANGE(""https://docs.google.com/spreadsheets/d/1SX6NBoVAgQJ6U1MVXOaj8PK2l7WJ3RER9xtqwdhxkhw/edit?usp=sharing"",""ปทุมธานี!M475"")"),0.0)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IFERROR(__xludf.DUMMYFUNCTION("IMPORTRANGE(""https://docs.google.com/spreadsheets/d/1SX6NBoVAgQJ6U1MVXOaj8PK2l7WJ3RER9xtqwdhxkhw/edit?usp=sharing"",""ปทุมธานี!L476"")"),0.0)</f>
        <v>0</v>
      </c>
      <c r="M581" s="197"/>
      <c r="N581" s="203">
        <f>IFERROR(__xludf.DUMMYFUNCTION("IMPORTRANGE(""https://docs.google.com/spreadsheets/d/1SX6NBoVAgQJ6U1MVXOaj8PK2l7WJ3RER9xtqwdhxkhw/edit?usp=sharing"",""ปทุมธานี!M476"")"),0.0)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IFERROR(__xludf.DUMMYFUNCTION("IMPORTRANGE(""https://docs.google.com/spreadsheets/d/1SX6NBoVAgQJ6U1MVXOaj8PK2l7WJ3RER9xtqwdhxkhw/edit?usp=sharing"",""ปทุมธานี!L477"")"),0.0)</f>
        <v>0</v>
      </c>
      <c r="M582" s="198"/>
      <c r="N582" s="203">
        <f>IFERROR(__xludf.DUMMYFUNCTION("IMPORTRANGE(""https://docs.google.com/spreadsheets/d/1SX6NBoVAgQJ6U1MVXOaj8PK2l7WJ3RER9xtqwdhxkhw/edit?usp=sharing"",""ปทุมธานี!M477"")"),0.0)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IFERROR(__xludf.DUMMYFUNCTION("IMPORTRANGE(""https://docs.google.com/spreadsheets/d/1SX6NBoVAgQJ6U1MVXOaj8PK2l7WJ3RER9xtqwdhxkhw/edit?usp=sharing"",""ปทุมธานี!L478"")"),0.0)</f>
        <v>0</v>
      </c>
      <c r="M583" s="203"/>
      <c r="N583" s="203">
        <f>IFERROR(__xludf.DUMMYFUNCTION("IMPORTRANGE(""https://docs.google.com/spreadsheets/d/1SX6NBoVAgQJ6U1MVXOaj8PK2l7WJ3RER9xtqwdhxkhw/edit?usp=sharing"",""ปทุมธานี!M478"")"),0.0)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IFERROR(__xludf.DUMMYFUNCTION("IMPORTRANGE(""https://docs.google.com/spreadsheets/d/1SX6NBoVAgQJ6U1MVXOaj8PK2l7WJ3RER9xtqwdhxkhw/edit?usp=sharing"",""ปทุมธานี!L479"")"),0.0)</f>
        <v>0</v>
      </c>
      <c r="M584" s="203"/>
      <c r="N584" s="203">
        <f>IFERROR(__xludf.DUMMYFUNCTION("IMPORTRANGE(""https://docs.google.com/spreadsheets/d/1SX6NBoVAgQJ6U1MVXOaj8PK2l7WJ3RER9xtqwdhxkhw/edit?usp=sharing"",""ปทุมธานี!M479"")"),0.0)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IFERROR(__xludf.DUMMYFUNCTION("IMPORTRANGE(""https://docs.google.com/spreadsheets/d/1SX6NBoVAgQJ6U1MVXOaj8PK2l7WJ3RER9xtqwdhxkhw/edit?usp=sharing"",""ปทุมธานี!M480"")"),0.0)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IFERROR(__xludf.DUMMYFUNCTION("IMPORTRANGE(""https://docs.google.com/spreadsheets/d/1SX6NBoVAgQJ6U1MVXOaj8PK2l7WJ3RER9xtqwdhxkhw/edit?usp=sharing"",""ปทุมธานี!M481"")"),0.0)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IFERROR(__xludf.DUMMYFUNCTION("IMPORTRANGE(""https://docs.google.com/spreadsheets/d/1SX6NBoVAgQJ6U1MVXOaj8PK2l7WJ3RER9xtqwdhxkhw/edit?usp=sharing"",""ปทุมธานี!M482"")"),0.0)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IFERROR(__xludf.DUMMYFUNCTION("IMPORTRANGE(""https://docs.google.com/spreadsheets/d/1SX6NBoVAgQJ6U1MVXOaj8PK2l7WJ3RER9xtqwdhxkhw/edit?usp=sharing"",""ปทุมธานี!M483"")"),0.0)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IFERROR(__xludf.DUMMYFUNCTION("IMPORTRANGE(""https://docs.google.com/spreadsheets/d/1SX6NBoVAgQJ6U1MVXOaj8PK2l7WJ3RER9xtqwdhxkhw/edit?usp=sharing"",""ปทุมธานี!I484"")"),0.0)</f>
        <v>0</v>
      </c>
      <c r="J589" s="222">
        <f>IFERROR(__xludf.DUMMYFUNCTION("IMPORTRANGE(""https://docs.google.com/spreadsheets/d/1SX6NBoVAgQJ6U1MVXOaj8PK2l7WJ3RER9xtqwdhxkhw/edit?usp=sharing"",""ปทุมธานี!J484"")"),0.0)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IFERROR(__xludf.DUMMYFUNCTION("IMPORTRANGE(""https://docs.google.com/spreadsheets/d/1SX6NBoVAgQJ6U1MVXOaj8PK2l7WJ3RER9xtqwdhxkhw/edit?usp=sharing"",""ปทุมธานี!I485"")"),0.0)</f>
        <v>0</v>
      </c>
      <c r="J590" s="222">
        <f>IFERROR(__xludf.DUMMYFUNCTION("IMPORTRANGE(""https://docs.google.com/spreadsheets/d/1SX6NBoVAgQJ6U1MVXOaj8PK2l7WJ3RER9xtqwdhxkhw/edit?usp=sharing"",""ปทุมธานี!J485"")"),0.0)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IFERROR(__xludf.DUMMYFUNCTION("IMPORTRANGE(""https://docs.google.com/spreadsheets/d/1SX6NBoVAgQJ6U1MVXOaj8PK2l7WJ3RER9xtqwdhxkhw/edit?usp=sharing"",""ปทุมธานี!I486"")"),0.0)</f>
        <v>0</v>
      </c>
      <c r="J591" s="222">
        <f>IFERROR(__xludf.DUMMYFUNCTION("IMPORTRANGE(""https://docs.google.com/spreadsheets/d/1SX6NBoVAgQJ6U1MVXOaj8PK2l7WJ3RER9xtqwdhxkhw/edit?usp=sharing"",""ปทุมธานี!J486"")"),0.0)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IFERROR(__xludf.DUMMYFUNCTION("IMPORTRANGE(""https://docs.google.com/spreadsheets/d/1SX6NBoVAgQJ6U1MVXOaj8PK2l7WJ3RER9xtqwdhxkhw/edit?usp=sharing"",""ปทุมธานี!I487"")"),0.0)</f>
        <v>0</v>
      </c>
      <c r="J592" s="222">
        <f>IFERROR(__xludf.DUMMYFUNCTION("IMPORTRANGE(""https://docs.google.com/spreadsheets/d/1SX6NBoVAgQJ6U1MVXOaj8PK2l7WJ3RER9xtqwdhxkhw/edit?usp=sharing"",""ปทุมธานี!J487"")"),0.0)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IFERROR(__xludf.DUMMYFUNCTION("IMPORTRANGE(""https://docs.google.com/spreadsheets/d/1SX6NBoVAgQJ6U1MVXOaj8PK2l7WJ3RER9xtqwdhxkhw/edit?usp=sharing"",""ปทุมธานี!I488"")"),0.0)</f>
        <v>0</v>
      </c>
      <c r="J593" s="222">
        <f>IFERROR(__xludf.DUMMYFUNCTION("IMPORTRANGE(""https://docs.google.com/spreadsheets/d/1SX6NBoVAgQJ6U1MVXOaj8PK2l7WJ3RER9xtqwdhxkhw/edit?usp=sharing"",""ปทุมธานี!J488"")"),0.0)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IFERROR(__xludf.DUMMYFUNCTION("IMPORTRANGE(""https://docs.google.com/spreadsheets/d/1SX6NBoVAgQJ6U1MVXOaj8PK2l7WJ3RER9xtqwdhxkhw/edit?usp=sharing"",""ปทุมธานี!I489"")"),0.0)</f>
        <v>0</v>
      </c>
      <c r="J594" s="222">
        <f>IFERROR(__xludf.DUMMYFUNCTION("IMPORTRANGE(""https://docs.google.com/spreadsheets/d/1SX6NBoVAgQJ6U1MVXOaj8PK2l7WJ3RER9xtqwdhxkhw/edit?usp=sharing"",""ปทุมธานี!J489"")"),0.0)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IFERROR(__xludf.DUMMYFUNCTION("IMPORTRANGE(""https://docs.google.com/spreadsheets/d/1SX6NBoVAgQJ6U1MVXOaj8PK2l7WJ3RER9xtqwdhxkhw/edit?usp=sharing"",""ปทุมธานี!I490"")"),0.0)</f>
        <v>0</v>
      </c>
      <c r="J595" s="222">
        <f>IFERROR(__xludf.DUMMYFUNCTION("IMPORTRANGE(""https://docs.google.com/spreadsheets/d/1SX6NBoVAgQJ6U1MVXOaj8PK2l7WJ3RER9xtqwdhxkhw/edit?usp=sharing"",""ปทุมธานี!J490"")"),0.0)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IFERROR(__xludf.DUMMYFUNCTION("IMPORTRANGE(""https://docs.google.com/spreadsheets/d/1SX6NBoVAgQJ6U1MVXOaj8PK2l7WJ3RER9xtqwdhxkhw/edit?usp=sharing"",""ปทุมธานี!I491"")"),0.0)</f>
        <v>0</v>
      </c>
      <c r="J596" s="275">
        <f>IFERROR(__xludf.DUMMYFUNCTION("IMPORTRANGE(""https://docs.google.com/spreadsheets/d/1SX6NBoVAgQJ6U1MVXOaj8PK2l7WJ3RER9xtqwdhxkhw/edit?usp=sharing"",""ปทุมธานี!J491"")"),0.0)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IFERROR(__xludf.DUMMYFUNCTION("IMPORTRANGE(""https://docs.google.com/spreadsheets/d/1SX6NBoVAgQJ6U1MVXOaj8PK2l7WJ3RER9xtqwdhxkhw/edit?usp=sharing"",""ปทุมธานี!I492"")"),100.0)</f>
        <v>100</v>
      </c>
      <c r="J597" s="520">
        <f>IFERROR(__xludf.DUMMYFUNCTION("IMPORTRANGE(""https://docs.google.com/spreadsheets/d/1SX6NBoVAgQJ6U1MVXOaj8PK2l7WJ3RER9xtqwdhxkhw/edit?usp=sharing"",""ปทุมธานี!J492"")"),0.0)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IFERROR(__xludf.DUMMYFUNCTION("IMPORTRANGE(""https://docs.google.com/spreadsheets/d/1SX6NBoVAgQJ6U1MVXOaj8PK2l7WJ3RER9xtqwdhxkhw/edit?usp=sharing"",""ปทุมธานี!L492"")"),7300.0)</f>
        <v>7300</v>
      </c>
      <c r="M597" s="445"/>
      <c r="N597" s="445">
        <f>IFERROR(__xludf.DUMMYFUNCTION("IMPORTRANGE(""https://docs.google.com/spreadsheets/d/1SX6NBoVAgQJ6U1MVXOaj8PK2l7WJ3RER9xtqwdhxkhw/edit?usp=sharing"",""ปทุมธานี!M492"")"),860.0)</f>
        <v>860</v>
      </c>
      <c r="O597" s="445">
        <f t="shared" ref="O597:O601" si="127">+IF(L597&gt;0,N597*100/L597,0)</f>
        <v>11.78082192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IFERROR(__xludf.DUMMYFUNCTION("IMPORTRANGE(""https://docs.google.com/spreadsheets/d/1SX6NBoVAgQJ6U1MVXOaj8PK2l7WJ3RER9xtqwdhxkhw/edit?usp=sharing"",""ปทุมธานี!L493"")"),0.0)</f>
        <v>0</v>
      </c>
      <c r="M598" s="197"/>
      <c r="N598" s="203">
        <f>IFERROR(__xludf.DUMMYFUNCTION("IMPORTRANGE(""https://docs.google.com/spreadsheets/d/1SX6NBoVAgQJ6U1MVXOaj8PK2l7WJ3RER9xtqwdhxkhw/edit?usp=sharing"",""ปทุมธานี!M493"")"),0.0)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IFERROR(__xludf.DUMMYFUNCTION("IMPORTRANGE(""https://docs.google.com/spreadsheets/d/1SX6NBoVAgQJ6U1MVXOaj8PK2l7WJ3RER9xtqwdhxkhw/edit?usp=sharing"",""ปทุมธานี!L494"")"),7300.0)</f>
        <v>7300</v>
      </c>
      <c r="M599" s="198"/>
      <c r="N599" s="203">
        <f>IFERROR(__xludf.DUMMYFUNCTION("IMPORTRANGE(""https://docs.google.com/spreadsheets/d/1SX6NBoVAgQJ6U1MVXOaj8PK2l7WJ3RER9xtqwdhxkhw/edit?usp=sharing"",""ปทุมธานี!M494"")"),860.0)</f>
        <v>860</v>
      </c>
      <c r="O599" s="203">
        <f t="shared" si="127"/>
        <v>11.78082192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IFERROR(__xludf.DUMMYFUNCTION("IMPORTRANGE(""https://docs.google.com/spreadsheets/d/1SX6NBoVAgQJ6U1MVXOaj8PK2l7WJ3RER9xtqwdhxkhw/edit?usp=sharing"",""ปทุมธานี!L495"")"),0.0)</f>
        <v>0</v>
      </c>
      <c r="M600" s="203"/>
      <c r="N600" s="203">
        <f>IFERROR(__xludf.DUMMYFUNCTION("IMPORTRANGE(""https://docs.google.com/spreadsheets/d/1SX6NBoVAgQJ6U1MVXOaj8PK2l7WJ3RER9xtqwdhxkhw/edit?usp=sharing"",""ปทุมธานี!M495"")"),0.0)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IFERROR(__xludf.DUMMYFUNCTION("IMPORTRANGE(""https://docs.google.com/spreadsheets/d/1SX6NBoVAgQJ6U1MVXOaj8PK2l7WJ3RER9xtqwdhxkhw/edit?usp=sharing"",""ปทุมธานี!L496"")"),7300.0)</f>
        <v>7300</v>
      </c>
      <c r="M601" s="203"/>
      <c r="N601" s="203">
        <f>IFERROR(__xludf.DUMMYFUNCTION("IMPORTRANGE(""https://docs.google.com/spreadsheets/d/1SX6NBoVAgQJ6U1MVXOaj8PK2l7WJ3RER9xtqwdhxkhw/edit?usp=sharing"",""ปทุมธานี!M496"")"),860.0)</f>
        <v>860</v>
      </c>
      <c r="O601" s="203">
        <f t="shared" si="127"/>
        <v>11.78082192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IFERROR(__xludf.DUMMYFUNCTION("IMPORTRANGE(""https://docs.google.com/spreadsheets/d/1SX6NBoVAgQJ6U1MVXOaj8PK2l7WJ3RER9xtqwdhxkhw/edit?usp=sharing"",""ปทุมธานี!M497"")"),0.0)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IFERROR(__xludf.DUMMYFUNCTION("IMPORTRANGE(""https://docs.google.com/spreadsheets/d/1SX6NBoVAgQJ6U1MVXOaj8PK2l7WJ3RER9xtqwdhxkhw/edit?usp=sharing"",""ปทุมธานี!M498"")"),0.0)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IFERROR(__xludf.DUMMYFUNCTION("IMPORTRANGE(""https://docs.google.com/spreadsheets/d/1SX6NBoVAgQJ6U1MVXOaj8PK2l7WJ3RER9xtqwdhxkhw/edit?usp=sharing"",""ปทุมธานี!M499"")"),0.0)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IFERROR(__xludf.DUMMYFUNCTION("IMPORTRANGE(""https://docs.google.com/spreadsheets/d/1SX6NBoVAgQJ6U1MVXOaj8PK2l7WJ3RER9xtqwdhxkhw/edit?usp=sharing"",""ปทุมธานี!M500"")"),860.0)</f>
        <v>860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IFERROR(__xludf.DUMMYFUNCTION("IMPORTRANGE(""https://docs.google.com/spreadsheets/d/1SX6NBoVAgQJ6U1MVXOaj8PK2l7WJ3RER9xtqwdhxkhw/edit?usp=sharing"",""ปทุมธานี!J502"")"),0.0)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IFERROR(__xludf.DUMMYFUNCTION("IMPORTRANGE(""https://docs.google.com/spreadsheets/d/1SX6NBoVAgQJ6U1MVXOaj8PK2l7WJ3RER9xtqwdhxkhw/edit?usp=sharing"",""ปทุมธานี!J503"")"),1.0)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IFERROR(__xludf.DUMMYFUNCTION("IMPORTRANGE(""https://docs.google.com/spreadsheets/d/1SX6NBoVAgQJ6U1MVXOaj8PK2l7WJ3RER9xtqwdhxkhw/edit?usp=sharing"",""ปทุมธานี!J166"")"),0.0)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IFERROR(__xludf.DUMMYFUNCTION("IMPORTRANGE(""https://docs.google.com/spreadsheets/d/1SX6NBoVAgQJ6U1MVXOaj8PK2l7WJ3RER9xtqwdhxkhw/edit?usp=sharing"",""ปทุมธานี!J166"")"),0.0)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IFERROR(__xludf.DUMMYFUNCTION("IMPORTRANGE(""https://docs.google.com/spreadsheets/d/1SX6NBoVAgQJ6U1MVXOaj8PK2l7WJ3RER9xtqwdhxkhw/edit?usp=sharing"",""ปทุมธานี!I506"")"),100.0)</f>
        <v>100</v>
      </c>
      <c r="J611" s="195">
        <f>IFERROR(__xludf.DUMMYFUNCTION("IMPORTRANGE(""https://docs.google.com/spreadsheets/d/1SX6NBoVAgQJ6U1MVXOaj8PK2l7WJ3RER9xtqwdhxkhw/edit?usp=sharing"",""ปทุมธานี!J506"")"),0.0)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IFERROR(__xludf.DUMMYFUNCTION("IMPORTRANGE(""https://docs.google.com/spreadsheets/d/1SX6NBoVAgQJ6U1MVXOaj8PK2l7WJ3RER9xtqwdhxkhw/edit?usp=sharing"",""ปทุมธานี!I507"")"),0.0)</f>
        <v>0</v>
      </c>
      <c r="J612" s="232">
        <f>IFERROR(__xludf.DUMMYFUNCTION("IMPORTRANGE(""https://docs.google.com/spreadsheets/d/1SX6NBoVAgQJ6U1MVXOaj8PK2l7WJ3RER9xtqwdhxkhw/edit?usp=sharing"",""ปทุมธานี!J507"")"),1.0)</f>
        <v>1</v>
      </c>
      <c r="K612" s="196">
        <f t="shared" si="128"/>
        <v>1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IFERROR(__xludf.DUMMYFUNCTION("IMPORTRANGE(""https://docs.google.com/spreadsheets/d/1SX6NBoVAgQJ6U1MVXOaj8PK2l7WJ3RER9xtqwdhxkhw/edit?usp=sharing"",""ปทุมธานี!I508"")"),0.0)</f>
        <v>0</v>
      </c>
      <c r="J613" s="232">
        <f>IFERROR(__xludf.DUMMYFUNCTION("IMPORTRANGE(""https://docs.google.com/spreadsheets/d/1SX6NBoVAgQJ6U1MVXOaj8PK2l7WJ3RER9xtqwdhxkhw/edit?usp=sharing"",""ปทุมธานี!J508"")"),1.0)</f>
        <v>1</v>
      </c>
      <c r="K613" s="196">
        <f t="shared" si="128"/>
        <v>1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IFERROR(__xludf.DUMMYFUNCTION("IMPORTRANGE(""https://docs.google.com/spreadsheets/d/1SX6NBoVAgQJ6U1MVXOaj8PK2l7WJ3RER9xtqwdhxkhw/edit?usp=sharing"",""ปทุมธานี!I509"")"),0.0)</f>
        <v>0</v>
      </c>
      <c r="J614" s="232">
        <f>IFERROR(__xludf.DUMMYFUNCTION("IMPORTRANGE(""https://docs.google.com/spreadsheets/d/1SX6NBoVAgQJ6U1MVXOaj8PK2l7WJ3RER9xtqwdhxkhw/edit?usp=sharing"",""ปทุมธานี!J509"")"),0.0)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IFERROR(__xludf.DUMMYFUNCTION("IMPORTRANGE(""https://docs.google.com/spreadsheets/d/1SX6NBoVAgQJ6U1MVXOaj8PK2l7WJ3RER9xtqwdhxkhw/edit?usp=sharing"",""ปทุมธานี!I510"")"),0.0)</f>
        <v>0</v>
      </c>
      <c r="J615" s="232">
        <f>IFERROR(__xludf.DUMMYFUNCTION("IMPORTRANGE(""https://docs.google.com/spreadsheets/d/1SX6NBoVAgQJ6U1MVXOaj8PK2l7WJ3RER9xtqwdhxkhw/edit?usp=sharing"",""ปทุมธานี!J510"")"),0.0)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IFERROR(__xludf.DUMMYFUNCTION("IMPORTRANGE(""https://docs.google.com/spreadsheets/d/1SX6NBoVAgQJ6U1MVXOaj8PK2l7WJ3RER9xtqwdhxkhw/edit?usp=sharing"",""ปทุมธานี!I511"")"),0.0)</f>
        <v>0</v>
      </c>
      <c r="J616" s="232">
        <f>IFERROR(__xludf.DUMMYFUNCTION("IMPORTRANGE(""https://docs.google.com/spreadsheets/d/1SX6NBoVAgQJ6U1MVXOaj8PK2l7WJ3RER9xtqwdhxkhw/edit?usp=sharing"",""ปทุมธานี!J511"")"),0.0)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IFERROR(__xludf.DUMMYFUNCTION("IMPORTRANGE(""https://docs.google.com/spreadsheets/d/1SX6NBoVAgQJ6U1MVXOaj8PK2l7WJ3RER9xtqwdhxkhw/edit?usp=sharing"",""ปทุมธานี!I512"")"),0.0)</f>
        <v>0</v>
      </c>
      <c r="J617" s="222">
        <f>IFERROR(__xludf.DUMMYFUNCTION("IMPORTRANGE(""https://docs.google.com/spreadsheets/d/1SX6NBoVAgQJ6U1MVXOaj8PK2l7WJ3RER9xtqwdhxkhw/edit?usp=sharing"",""ปทุมธานี!J512"")"),0.0)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IFERROR(__xludf.DUMMYFUNCTION("IMPORTRANGE(""https://docs.google.com/spreadsheets/d/1SX6NBoVAgQJ6U1MVXOaj8PK2l7WJ3RER9xtqwdhxkhw/edit?usp=sharing"",""ปทุมธานี!I513"")"),0.0)</f>
        <v>0</v>
      </c>
      <c r="J618" s="223">
        <f>IFERROR(__xludf.DUMMYFUNCTION("IMPORTRANGE(""https://docs.google.com/spreadsheets/d/1SX6NBoVAgQJ6U1MVXOaj8PK2l7WJ3RER9xtqwdhxkhw/edit?usp=sharing"",""ปทุมธานี!J513"")"),0.0)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IFERROR(__xludf.DUMMYFUNCTION("IMPORTRANGE(""https://docs.google.com/spreadsheets/d/1SX6NBoVAgQJ6U1MVXOaj8PK2l7WJ3RER9xtqwdhxkhw/edit?usp=sharing"",""ปทุมธานี!I514"")"),0.0)</f>
        <v>0</v>
      </c>
      <c r="J619" s="223">
        <f>IFERROR(__xludf.DUMMYFUNCTION("IMPORTRANGE(""https://docs.google.com/spreadsheets/d/1SX6NBoVAgQJ6U1MVXOaj8PK2l7WJ3RER9xtqwdhxkhw/edit?usp=sharing"",""ปทุมธานี!J514"")"),0.0)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IFERROR(__xludf.DUMMYFUNCTION("IMPORTRANGE(""https://docs.google.com/spreadsheets/d/1SX6NBoVAgQJ6U1MVXOaj8PK2l7WJ3RER9xtqwdhxkhw/edit?usp=sharing"",""ปทุมธานี!I515"")"),0.0)</f>
        <v>0</v>
      </c>
      <c r="J620" s="237">
        <f>IFERROR(__xludf.DUMMYFUNCTION("IMPORTRANGE(""https://docs.google.com/spreadsheets/d/1SX6NBoVAgQJ6U1MVXOaj8PK2l7WJ3RER9xtqwdhxkhw/edit?usp=sharing"",""ปทุมธานี!J515"")"),0.0)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IFERROR(__xludf.DUMMYFUNCTION("IMPORTRANGE(""https://docs.google.com/spreadsheets/d/1SX6NBoVAgQJ6U1MVXOaj8PK2l7WJ3RER9xtqwdhxkhw/edit?usp=sharing"",""ปทุมธานี!I516"")"),0.0)</f>
        <v>0</v>
      </c>
      <c r="J621" s="237">
        <f>IFERROR(__xludf.DUMMYFUNCTION("IMPORTRANGE(""https://docs.google.com/spreadsheets/d/1SX6NBoVAgQJ6U1MVXOaj8PK2l7WJ3RER9xtqwdhxkhw/edit?usp=sharing"",""ปทุมธานี!J516"")"),0.0)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IFERROR(__xludf.DUMMYFUNCTION("IMPORTRANGE(""https://docs.google.com/spreadsheets/d/1SX6NBoVAgQJ6U1MVXOaj8PK2l7WJ3RER9xtqwdhxkhw/edit?usp=sharing"",""ปทุมธานี!I517"")"),0.0)</f>
        <v>0</v>
      </c>
      <c r="J622" s="223">
        <f>IFERROR(__xludf.DUMMYFUNCTION("IMPORTRANGE(""https://docs.google.com/spreadsheets/d/1SX6NBoVAgQJ6U1MVXOaj8PK2l7WJ3RER9xtqwdhxkhw/edit?usp=sharing"",""ปทุมธานี!J517"")"),0.0)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IFERROR(__xludf.DUMMYFUNCTION("IMPORTRANGE(""https://docs.google.com/spreadsheets/d/1SX6NBoVAgQJ6U1MVXOaj8PK2l7WJ3RER9xtqwdhxkhw/edit?usp=sharing"",""ปทุมธานี!I518"")"),0.0)</f>
        <v>0</v>
      </c>
      <c r="J623" s="223">
        <f>IFERROR(__xludf.DUMMYFUNCTION("IMPORTRANGE(""https://docs.google.com/spreadsheets/d/1SX6NBoVAgQJ6U1MVXOaj8PK2l7WJ3RER9xtqwdhxkhw/edit?usp=sharing"",""ปทุมธานี!J518"")"),0.0)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IFERROR(__xludf.DUMMYFUNCTION("IMPORTRANGE(""https://docs.google.com/spreadsheets/d/1SX6NBoVAgQJ6U1MVXOaj8PK2l7WJ3RER9xtqwdhxkhw/edit?usp=sharing"",""ปทุมธานี!I519"")"),0.0)</f>
        <v>0</v>
      </c>
      <c r="J624" s="222">
        <f>IFERROR(__xludf.DUMMYFUNCTION("IMPORTRANGE(""https://docs.google.com/spreadsheets/d/1SX6NBoVAgQJ6U1MVXOaj8PK2l7WJ3RER9xtqwdhxkhw/edit?usp=sharing"",""ปทุมธานี!J519"")"),0.0)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IFERROR(__xludf.DUMMYFUNCTION("IMPORTRANGE(""https://docs.google.com/spreadsheets/d/1SX6NBoVAgQJ6U1MVXOaj8PK2l7WJ3RER9xtqwdhxkhw/edit?usp=sharing"",""ปทุมธานี!I520"")"),0.0)</f>
        <v>0</v>
      </c>
      <c r="J625" s="223">
        <f>IFERROR(__xludf.DUMMYFUNCTION("IMPORTRANGE(""https://docs.google.com/spreadsheets/d/1SX6NBoVAgQJ6U1MVXOaj8PK2l7WJ3RER9xtqwdhxkhw/edit?usp=sharing"",""ปทุมธานี!J520"")"),0.0)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IFERROR(__xludf.DUMMYFUNCTION("IMPORTRANGE(""https://docs.google.com/spreadsheets/d/1SX6NBoVAgQJ6U1MVXOaj8PK2l7WJ3RER9xtqwdhxkhw/edit?usp=sharing"",""ปทุมธานี!I521"")"),0.0)</f>
        <v>0</v>
      </c>
      <c r="J626" s="223">
        <f>IFERROR(__xludf.DUMMYFUNCTION("IMPORTRANGE(""https://docs.google.com/spreadsheets/d/1SX6NBoVAgQJ6U1MVXOaj8PK2l7WJ3RER9xtqwdhxkhw/edit?usp=sharing"",""ปทุมธานี!J521"")"),0.0)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IFERROR(__xludf.DUMMYFUNCTION("IMPORTRANGE(""https://docs.google.com/spreadsheets/d/1SX6NBoVAgQJ6U1MVXOaj8PK2l7WJ3RER9xtqwdhxkhw/edit?usp=sharing"",""ปทุมธานี!I523"")"),1040000.0)</f>
        <v>1040000</v>
      </c>
      <c r="J628" s="374">
        <f>IFERROR(__xludf.DUMMYFUNCTION("IMPORTRANGE(""https://docs.google.com/spreadsheets/d/1SX6NBoVAgQJ6U1MVXOaj8PK2l7WJ3RER9xtqwdhxkhw/edit?usp=sharing"",""ปทุมธานี!J523"")"),30000.0)</f>
        <v>30000</v>
      </c>
      <c r="K628" s="375">
        <f t="shared" ref="K628:K635" si="130">IF(I628&gt;0,J628*100/I628,0)</f>
        <v>2.884615385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IFERROR(__xludf.DUMMYFUNCTION("IMPORTRANGE(""https://docs.google.com/spreadsheets/d/1SX6NBoVAgQJ6U1MVXOaj8PK2l7WJ3RER9xtqwdhxkhw/edit?usp=sharing"",""ปทุมธานี!I524"")"),36.0)</f>
        <v>36</v>
      </c>
      <c r="J629" s="374">
        <f>IFERROR(__xludf.DUMMYFUNCTION("IMPORTRANGE(""https://docs.google.com/spreadsheets/d/1SX6NBoVAgQJ6U1MVXOaj8PK2l7WJ3RER9xtqwdhxkhw/edit?usp=sharing"",""ปทุมธานี!J524"")"),1.0)</f>
        <v>1</v>
      </c>
      <c r="K629" s="375">
        <f t="shared" si="130"/>
        <v>2.777777778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IFERROR(__xludf.DUMMYFUNCTION("IMPORTRANGE(""https://docs.google.com/spreadsheets/d/1SX6NBoVAgQJ6U1MVXOaj8PK2l7WJ3RER9xtqwdhxkhw/edit?usp=sharing"",""ปทุมธานี!I525"")"),137492.79)</f>
        <v>137492.79</v>
      </c>
      <c r="J630" s="374">
        <f>IFERROR(__xludf.DUMMYFUNCTION("IMPORTRANGE(""https://docs.google.com/spreadsheets/d/1SX6NBoVAgQJ6U1MVXOaj8PK2l7WJ3RER9xtqwdhxkhw/edit?usp=sharing"",""ปทุมธานี!J525"")"),4999.64)</f>
        <v>4999.64</v>
      </c>
      <c r="K630" s="375">
        <f t="shared" si="130"/>
        <v>3.636292492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IFERROR(__xludf.DUMMYFUNCTION("IMPORTRANGE(""https://docs.google.com/spreadsheets/d/1SX6NBoVAgQJ6U1MVXOaj8PK2l7WJ3RER9xtqwdhxkhw/edit?usp=sharing"",""ปทุมธานี!I526"")"),4.0)</f>
        <v>4</v>
      </c>
      <c r="J631" s="374">
        <f>IFERROR(__xludf.DUMMYFUNCTION("IMPORTRANGE(""https://docs.google.com/spreadsheets/d/1SX6NBoVAgQJ6U1MVXOaj8PK2l7WJ3RER9xtqwdhxkhw/edit?usp=sharing"",""ปทุมธานี!J526"")"),1.0)</f>
        <v>1</v>
      </c>
      <c r="K631" s="375">
        <f t="shared" si="130"/>
        <v>25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IFERROR(__xludf.DUMMYFUNCTION("IMPORTRANGE(""https://docs.google.com/spreadsheets/d/1SX6NBoVAgQJ6U1MVXOaj8PK2l7WJ3RER9xtqwdhxkhw/edit?usp=sharing"",""ปทุมธานี!I527"")"),4018939.93)</f>
        <v>4018939.93</v>
      </c>
      <c r="J632" s="374">
        <f>IFERROR(__xludf.DUMMYFUNCTION("IMPORTRANGE(""https://docs.google.com/spreadsheets/d/1SX6NBoVAgQJ6U1MVXOaj8PK2l7WJ3RER9xtqwdhxkhw/edit?usp=sharing"",""ปทุมธานี!J527"")"),906822.06)</f>
        <v>906822.06</v>
      </c>
      <c r="K632" s="375">
        <f t="shared" si="130"/>
        <v>22.56371272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IFERROR(__xludf.DUMMYFUNCTION("IMPORTRANGE(""https://docs.google.com/spreadsheets/d/1SX6NBoVAgQJ6U1MVXOaj8PK2l7WJ3RER9xtqwdhxkhw/edit?usp=sharing"",""ปทุมธานี!I528"")"),2074.0)</f>
        <v>2074</v>
      </c>
      <c r="J633" s="374">
        <f>IFERROR(__xludf.DUMMYFUNCTION("IMPORTRANGE(""https://docs.google.com/spreadsheets/d/1SX6NBoVAgQJ6U1MVXOaj8PK2l7WJ3RER9xtqwdhxkhw/edit?usp=sharing"",""ปทุมธานี!J528"")"),460.0)</f>
        <v>460</v>
      </c>
      <c r="K633" s="375">
        <f t="shared" si="130"/>
        <v>22.17936355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IFERROR(__xludf.DUMMYFUNCTION("IMPORTRANGE(""https://docs.google.com/spreadsheets/d/1SX6NBoVAgQJ6U1MVXOaj8PK2l7WJ3RER9xtqwdhxkhw/edit?usp=sharing"",""ปทุมธานี!I529"")"),960000.0)</f>
        <v>960000</v>
      </c>
      <c r="J634" s="374">
        <f>IFERROR(__xludf.DUMMYFUNCTION("IMPORTRANGE(""https://docs.google.com/spreadsheets/d/1SX6NBoVAgQJ6U1MVXOaj8PK2l7WJ3RER9xtqwdhxkhw/edit?usp=sharing"",""ปทุมธานี!J529"")"),0.0)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IFERROR(__xludf.DUMMYFUNCTION("IMPORTRANGE(""https://docs.google.com/spreadsheets/d/1SX6NBoVAgQJ6U1MVXOaj8PK2l7WJ3RER9xtqwdhxkhw/edit?usp=sharing"",""ปทุมธานี!I530"")"),33.0)</f>
        <v>33</v>
      </c>
      <c r="J635" s="544">
        <f>IFERROR(__xludf.DUMMYFUNCTION("IMPORTRANGE(""https://docs.google.com/spreadsheets/d/1SX6NBoVAgQJ6U1MVXOaj8PK2l7WJ3RER9xtqwdhxkhw/edit?usp=sharing"",""ปทุมธานี!J530"")"),0.0)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257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2815649</v>
      </c>
      <c r="M8" s="41">
        <f t="shared" si="1"/>
        <v>904410</v>
      </c>
      <c r="N8" s="41">
        <f t="shared" si="1"/>
        <v>764996.68</v>
      </c>
      <c r="O8" s="40">
        <f t="shared" ref="O8:O16" si="3">IF(L8&gt;0,N8*100/L8,0)</f>
        <v>27.16946182</v>
      </c>
      <c r="P8" s="40">
        <f t="shared" ref="P8:P16" si="4">IF(M8&gt;0,N8*100/M8,0)</f>
        <v>84.58516381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2815649</v>
      </c>
      <c r="M10" s="48">
        <f t="shared" si="5"/>
        <v>904410</v>
      </c>
      <c r="N10" s="48">
        <f t="shared" si="5"/>
        <v>764996.68</v>
      </c>
      <c r="O10" s="47">
        <f t="shared" si="3"/>
        <v>27.16946182</v>
      </c>
      <c r="P10" s="47">
        <f t="shared" si="4"/>
        <v>84.58516381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2668649</v>
      </c>
      <c r="M12" s="58">
        <f t="shared" si="7"/>
        <v>904410</v>
      </c>
      <c r="N12" s="58">
        <f t="shared" si="7"/>
        <v>617996.68</v>
      </c>
      <c r="O12" s="58">
        <f t="shared" si="3"/>
        <v>23.15766067</v>
      </c>
      <c r="P12" s="58">
        <f t="shared" si="4"/>
        <v>68.33147356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1379500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1289149</v>
      </c>
      <c r="M14" s="58">
        <f t="shared" si="9"/>
        <v>0</v>
      </c>
      <c r="N14" s="58">
        <f t="shared" si="9"/>
        <v>130930.68</v>
      </c>
      <c r="O14" s="61">
        <f t="shared" si="3"/>
        <v>10.15636517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147000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1871070</v>
      </c>
      <c r="M18" s="41">
        <f t="shared" si="12"/>
        <v>904410</v>
      </c>
      <c r="N18" s="41">
        <f t="shared" si="12"/>
        <v>634066</v>
      </c>
      <c r="O18" s="40">
        <f t="shared" ref="O18:O20" si="14">IF(L18&gt;0,N18*100/L18,0)</f>
        <v>33.88788233</v>
      </c>
      <c r="P18" s="40">
        <f t="shared" ref="P18:P26" si="15">IF(M18&gt;0,N18*100/M18,0)</f>
        <v>70.10824737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1871070</v>
      </c>
      <c r="M20" s="48">
        <f t="shared" si="16"/>
        <v>904410</v>
      </c>
      <c r="N20" s="48">
        <f t="shared" si="16"/>
        <v>634066</v>
      </c>
      <c r="O20" s="47">
        <f t="shared" si="14"/>
        <v>33.88788233</v>
      </c>
      <c r="P20" s="47">
        <f t="shared" si="15"/>
        <v>70.10824737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1724070</v>
      </c>
      <c r="M22" s="62">
        <f t="shared" si="18"/>
        <v>904410</v>
      </c>
      <c r="N22" s="61">
        <f t="shared" si="18"/>
        <v>487066</v>
      </c>
      <c r="O22" s="61">
        <f t="shared" si="19"/>
        <v>28.25094109</v>
      </c>
      <c r="P22" s="61">
        <f t="shared" si="15"/>
        <v>53.85455711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1379500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344570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147000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944579</v>
      </c>
      <c r="M28" s="41">
        <f t="shared" si="24"/>
        <v>0</v>
      </c>
      <c r="N28" s="41">
        <f t="shared" si="24"/>
        <v>130930.68</v>
      </c>
      <c r="O28" s="40">
        <f t="shared" ref="O28:O30" si="26">IF(L28&gt;0,N28*100/L28,0)</f>
        <v>13.86127365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944579</v>
      </c>
      <c r="M30" s="48">
        <f t="shared" si="28"/>
        <v>0</v>
      </c>
      <c r="N30" s="48">
        <f t="shared" si="28"/>
        <v>130930.68</v>
      </c>
      <c r="O30" s="47">
        <f t="shared" si="26"/>
        <v>13.86127365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944579</v>
      </c>
      <c r="M32" s="61">
        <f t="shared" si="30"/>
        <v>0</v>
      </c>
      <c r="N32" s="61">
        <f t="shared" si="30"/>
        <v>130930.68</v>
      </c>
      <c r="O32" s="61">
        <f t="shared" si="31"/>
        <v>13.86127365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944579</v>
      </c>
      <c r="M34" s="61">
        <f t="shared" si="33"/>
        <v>0</v>
      </c>
      <c r="N34" s="61">
        <f t="shared" si="33"/>
        <v>130930.68</v>
      </c>
      <c r="O34" s="61">
        <f t="shared" si="31"/>
        <v>13.86127365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1871070</v>
      </c>
      <c r="M37" s="75">
        <f t="shared" si="34"/>
        <v>904410</v>
      </c>
      <c r="N37" s="75">
        <f t="shared" si="34"/>
        <v>634066</v>
      </c>
      <c r="O37" s="76">
        <f t="shared" si="31"/>
        <v>33.88788233</v>
      </c>
      <c r="P37" s="76">
        <f t="shared" si="27"/>
        <v>70.10824737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574400</v>
      </c>
      <c r="M41" s="102">
        <f t="shared" si="35"/>
        <v>287300</v>
      </c>
      <c r="N41" s="102">
        <f t="shared" si="35"/>
        <v>231284</v>
      </c>
      <c r="O41" s="101">
        <f t="shared" ref="O41:O43" si="37">IF(L41&gt;0,N41*100/L41,0)</f>
        <v>40.26532033</v>
      </c>
      <c r="P41" s="101">
        <f t="shared" ref="P41:P43" si="38">IF(M41&gt;0,N41*100/M41,0)</f>
        <v>80.50261051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574400</v>
      </c>
      <c r="M43" s="102">
        <f t="shared" si="39"/>
        <v>287300</v>
      </c>
      <c r="N43" s="102">
        <f t="shared" si="39"/>
        <v>231284</v>
      </c>
      <c r="O43" s="101">
        <f t="shared" si="37"/>
        <v>40.26532033</v>
      </c>
      <c r="P43" s="101">
        <f t="shared" si="38"/>
        <v>80.50261051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574400</v>
      </c>
      <c r="M45" s="70">
        <f>IFERROR(__xludf.DUMMYFUNCTION("IMPORTRANGE(""https://docs.google.com/spreadsheets/d/1Yj_ptqi66GCucihVvJfMjLAmec39IyEx_6qawtMGysU/edit?usp=sharing"",""สบก!Q68"")"),287300.0)</f>
        <v>287300</v>
      </c>
      <c r="N45" s="70">
        <f>IFERROR(__xludf.DUMMYFUNCTION("IMPORTRANGE(""https://docs.google.com/spreadsheets/d/1Yj_ptqi66GCucihVvJfMjLAmec39IyEx_6qawtMGysU/edit?usp=sharing"",""สบก!R68"")"),231284.0)</f>
        <v>231284</v>
      </c>
      <c r="O45" s="61">
        <f>IF(L45&gt;0,N45*100/L45,0)</f>
        <v>40.26532033</v>
      </c>
      <c r="P45" s="61">
        <f>IF(M45&gt;0,N45*100/M45,0)</f>
        <v>80.50261051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IFERROR(__xludf.DUMMYFUNCTION("IMPORTRANGE(""https://docs.google.com/spreadsheets/d/1Yj_ptqi66GCucihVvJfMjLAmec39IyEx_6qawtMGysU/edit?usp=sharing"",""สบก!M68"")"),574400.0)</f>
        <v>574400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IFERROR(__xludf.DUMMYFUNCTION("IMPORTRANGE(""https://docs.google.com/spreadsheets/d/1Yj_ptqi66GCucihVvJfMjLAmec39IyEx_6qawtMGysU/edit?usp=sharing"",""สบก!N68"")"),0.0)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IFERROR(__xludf.DUMMYFUNCTION("IMPORTRANGE(""https://docs.google.com/spreadsheets/d/1Yj_ptqi66GCucihVvJfMjLAmec39IyEx_6qawtMGysU/edit?usp=sharing"",""สบก!O68"")"),0.0)</f>
        <v>0</v>
      </c>
      <c r="M49" s="70"/>
      <c r="N49" s="70">
        <f>IFERROR(__xludf.DUMMYFUNCTION("IMPORTRANGE(""https://docs.google.com/spreadsheets/d/1Yj_ptqi66GCucihVvJfMjLAmec39IyEx_6qawtMGysU/edit?usp=sharing"",""สบก!S68"")"),0.0)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300000</v>
      </c>
      <c r="M53" s="151">
        <f t="shared" si="40"/>
        <v>159000</v>
      </c>
      <c r="N53" s="151">
        <f t="shared" si="40"/>
        <v>104600</v>
      </c>
      <c r="O53" s="150">
        <f t="shared" ref="O53:O55" si="42">IF(L53&gt;0,N53*100/L53,0)</f>
        <v>34.86666667</v>
      </c>
      <c r="P53" s="150">
        <f t="shared" ref="P53:P55" si="43">IF(M53&gt;0,N53*100/M53,0)</f>
        <v>65.78616352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300000</v>
      </c>
      <c r="M55" s="151">
        <f t="shared" si="44"/>
        <v>159000</v>
      </c>
      <c r="N55" s="151">
        <f t="shared" si="44"/>
        <v>104600</v>
      </c>
      <c r="O55" s="150">
        <f t="shared" si="42"/>
        <v>34.86666667</v>
      </c>
      <c r="P55" s="150">
        <f t="shared" si="43"/>
        <v>65.78616352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300000</v>
      </c>
      <c r="M57" s="70">
        <f>IFERROR(__xludf.DUMMYFUNCTION("IMPORTRANGE(""https://docs.google.com/spreadsheets/d/1Yj_ptqi66GCucihVvJfMjLAmec39IyEx_6qawtMGysU/edit?usp=sharing"",""สบก!Z68"")"),159000.0)</f>
        <v>159000</v>
      </c>
      <c r="N57" s="70">
        <f>IFERROR(__xludf.DUMMYFUNCTION("IMPORTRANGE(""https://docs.google.com/spreadsheets/d/1Yj_ptqi66GCucihVvJfMjLAmec39IyEx_6qawtMGysU/edit?usp=sharing"",""สบก!AA68"")"),104600.0)</f>
        <v>104600</v>
      </c>
      <c r="O57" s="61">
        <f>IF(L57&gt;0,N57*100/L57,0)</f>
        <v>34.86666667</v>
      </c>
      <c r="P57" s="61">
        <f>IF(M57&gt;0,N57*100/M57,0)</f>
        <v>65.78616352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IFERROR(__xludf.DUMMYFUNCTION("IMPORTRANGE(""https://docs.google.com/spreadsheets/d/1Yj_ptqi66GCucihVvJfMjLAmec39IyEx_6qawtMGysU/edit?usp=sharing"",""สบก!V68"")"),300000.0)</f>
        <v>300000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IFERROR(__xludf.DUMMYFUNCTION("IMPORTRANGE(""https://docs.google.com/spreadsheets/d/1Yj_ptqi66GCucihVvJfMjLAmec39IyEx_6qawtMGysU/edit?usp=sharing"",""สบก!W68"")"),0.0)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IFERROR(__xludf.DUMMYFUNCTION("IMPORTRANGE(""https://docs.google.com/spreadsheets/d/1Yj_ptqi66GCucihVvJfMjLAmec39IyEx_6qawtMGysU/edit?usp=sharing"",""สบก!X68"")"),0.0)</f>
        <v>0</v>
      </c>
      <c r="M61" s="70"/>
      <c r="N61" s="70">
        <f>IFERROR(__xludf.DUMMYFUNCTION("IMPORTRANGE(""https://docs.google.com/spreadsheets/d/1Yj_ptqi66GCucihVvJfMjLAmec39IyEx_6qawtMGysU/edit?usp=sharing"",""สบก!AB68"")"),0.0)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IFERROR(__xludf.DUMMYFUNCTION("IMPORTRANGE(""https://docs.google.com/spreadsheets/d/1SX6NBoVAgQJ6U1MVXOaj8PK2l7WJ3RER9xtqwdhxkhw/edit?usp=sharing"",""ประจวบคีรีขันธ์!I9"")"),0.0)</f>
        <v>0</v>
      </c>
      <c r="J64" s="172">
        <f>IFERROR(__xludf.DUMMYFUNCTION("IMPORTRANGE(""https://docs.google.com/spreadsheets/d/1SX6NBoVAgQJ6U1MVXOaj8PK2l7WJ3RER9xtqwdhxkhw/edit?usp=sharing"",""ประจวบคีรีขันธ์!J9"")"),0.0)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IFERROR(__xludf.DUMMYFUNCTION("IMPORTRANGE(""https://docs.google.com/spreadsheets/d/1SX6NBoVAgQJ6U1MVXOaj8PK2l7WJ3RER9xtqwdhxkhw/edit?usp=sharing"",""ประจวบคีรีขันธ์!I10"")"),0.0)</f>
        <v>0</v>
      </c>
      <c r="J65" s="172">
        <f>IFERROR(__xludf.DUMMYFUNCTION("IMPORTRANGE(""https://docs.google.com/spreadsheets/d/1SX6NBoVAgQJ6U1MVXOaj8PK2l7WJ3RER9xtqwdhxkhw/edit?usp=sharing"",""ประจวบคีรีขันธ์!J10"")"),0.0)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IFERROR(__xludf.DUMMYFUNCTION("IMPORTRANGE(""https://docs.google.com/spreadsheets/d/1Yj_ptqi66GCucihVvJfMjLAmec39IyEx_6qawtMGysU/edit?usp=sharing"",""สบก!AI68"")"),0.0)</f>
        <v>0</v>
      </c>
      <c r="N70" s="203">
        <f>IFERROR(__xludf.DUMMYFUNCTION("IMPORTRANGE(""https://docs.google.com/spreadsheets/d/1Yj_ptqi66GCucihVvJfMjLAmec39IyEx_6qawtMGysU/edit?usp=sharing"",""สบก!AJ68"")"),0.0)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IFERROR(__xludf.DUMMYFUNCTION("IMPORTRANGE(""https://docs.google.com/spreadsheets/d/1Yj_ptqi66GCucihVvJfMjLAmec39IyEx_6qawtMGysU/edit?usp=sharing"",""สบก!AE68"")"),0.0)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IFERROR(__xludf.DUMMYFUNCTION("IMPORTRANGE(""https://docs.google.com/spreadsheets/d/1Yj_ptqi66GCucihVvJfMjLAmec39IyEx_6qawtMGysU/edit?usp=sharing"",""สบก!AF68"")"),0.0)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IFERROR(__xludf.DUMMYFUNCTION("IMPORTRANGE(""https://docs.google.com/spreadsheets/d/1Yj_ptqi66GCucihVvJfMjLAmec39IyEx_6qawtMGysU/edit?usp=sharing"",""สบก!AG68"")"),0.0)</f>
        <v>0</v>
      </c>
      <c r="M74" s="70"/>
      <c r="N74" s="70">
        <f>IFERROR(__xludf.DUMMYFUNCTION("IMPORTRANGE(""https://docs.google.com/spreadsheets/d/1Yj_ptqi66GCucihVvJfMjLAmec39IyEx_6qawtMGysU/edit?usp=sharing"",""สบก!AK68"")"),0.0)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IFERROR(__xludf.DUMMYFUNCTION("IMPORTRANGE(""https://docs.google.com/spreadsheets/d/1SX6NBoVAgQJ6U1MVXOaj8PK2l7WJ3RER9xtqwdhxkhw/edit?usp=sharing"",""ประจวบคีรีขันธ์!J16"")"),0.0)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IFERROR(__xludf.DUMMYFUNCTION("IMPORTRANGE(""https://docs.google.com/spreadsheets/d/1SX6NBoVAgQJ6U1MVXOaj8PK2l7WJ3RER9xtqwdhxkhw/edit?usp=sharing"",""ประจวบคีรีขันธ์!J17"")"),0.0)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IFERROR(__xludf.DUMMYFUNCTION("IMPORTRANGE(""https://docs.google.com/spreadsheets/d/1SX6NBoVAgQJ6U1MVXOaj8PK2l7WJ3RER9xtqwdhxkhw/edit?usp=sharing"",""ประจวบคีรีขันธ์!J18"")"),0.0)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IFERROR(__xludf.DUMMYFUNCTION("IMPORTRANGE(""https://docs.google.com/spreadsheets/d/1SX6NBoVAgQJ6U1MVXOaj8PK2l7WJ3RER9xtqwdhxkhw/edit?usp=sharing"",""ประจวบคีรีขันธ์!J19"")"),0.0)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IFERROR(__xludf.DUMMYFUNCTION("IMPORTRANGE(""https://docs.google.com/spreadsheets/d/1SX6NBoVAgQJ6U1MVXOaj8PK2l7WJ3RER9xtqwdhxkhw/edit?usp=sharing"",""ประจวบคีรีขันธ์!I20"")"),0.0)</f>
        <v>0</v>
      </c>
      <c r="J80" s="235">
        <f>IFERROR(__xludf.DUMMYFUNCTION("IMPORTRANGE(""https://docs.google.com/spreadsheets/d/1SX6NBoVAgQJ6U1MVXOaj8PK2l7WJ3RER9xtqwdhxkhw/edit?usp=sharing"",""ประจวบคีรีขันธ์!J20"")"),0.0)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IFERROR(__xludf.DUMMYFUNCTION("IMPORTRANGE(""https://docs.google.com/spreadsheets/d/1SX6NBoVAgQJ6U1MVXOaj8PK2l7WJ3RER9xtqwdhxkhw/edit?usp=sharing"",""ประจวบคีรีขันธ์!I21"")"),0.0)</f>
        <v>0</v>
      </c>
      <c r="J81" s="235">
        <f>IFERROR(__xludf.DUMMYFUNCTION("IMPORTRANGE(""https://docs.google.com/spreadsheets/d/1SX6NBoVAgQJ6U1MVXOaj8PK2l7WJ3RER9xtqwdhxkhw/edit?usp=sharing"",""ประจวบคีรีขันธ์!J21"")"),0.0)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IFERROR(__xludf.DUMMYFUNCTION("IMPORTRANGE(""https://docs.google.com/spreadsheets/d/1SX6NBoVAgQJ6U1MVXOaj8PK2l7WJ3RER9xtqwdhxkhw/edit?usp=sharing"",""ประจวบคีรีขันธ์!I22"")"),0.0)</f>
        <v>0</v>
      </c>
      <c r="J82" s="238">
        <f>IFERROR(__xludf.DUMMYFUNCTION("IMPORTRANGE(""https://docs.google.com/spreadsheets/d/1SX6NBoVAgQJ6U1MVXOaj8PK2l7WJ3RER9xtqwdhxkhw/edit?usp=sharing"",""ประจวบคีรีขันธ์!J22"")"),0.0)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IFERROR(__xludf.DUMMYFUNCTION("IMPORTRANGE(""https://docs.google.com/spreadsheets/d/1SX6NBoVAgQJ6U1MVXOaj8PK2l7WJ3RER9xtqwdhxkhw/edit?usp=sharing"",""ประจวบคีรีขันธ์!I23"")"),0.0)</f>
        <v>0</v>
      </c>
      <c r="J83" s="238">
        <f>IFERROR(__xludf.DUMMYFUNCTION("IMPORTRANGE(""https://docs.google.com/spreadsheets/d/1SX6NBoVAgQJ6U1MVXOaj8PK2l7WJ3RER9xtqwdhxkhw/edit?usp=sharing"",""ประจวบคีรีขันธ์!J23"")"),0.0)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IFERROR(__xludf.DUMMYFUNCTION("IMPORTRANGE(""https://docs.google.com/spreadsheets/d/1SX6NBoVAgQJ6U1MVXOaj8PK2l7WJ3RER9xtqwdhxkhw/edit?usp=sharing"",""ประจวบคีรีขันธ์!I24"")"),0.0)</f>
        <v>0</v>
      </c>
      <c r="J84" s="223">
        <f>IFERROR(__xludf.DUMMYFUNCTION("IMPORTRANGE(""https://docs.google.com/spreadsheets/d/1SX6NBoVAgQJ6U1MVXOaj8PK2l7WJ3RER9xtqwdhxkhw/edit?usp=sharing"",""ประจวบคีรีขันธ์!J24"")"),0.0)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IFERROR(__xludf.DUMMYFUNCTION("IMPORTRANGE(""https://docs.google.com/spreadsheets/d/1SX6NBoVAgQJ6U1MVXOaj8PK2l7WJ3RER9xtqwdhxkhw/edit?usp=sharing"",""ประจวบคีรีขันธ์!I25"")"),0.0)</f>
        <v>0</v>
      </c>
      <c r="J85" s="223">
        <f>IFERROR(__xludf.DUMMYFUNCTION("IMPORTRANGE(""https://docs.google.com/spreadsheets/d/1SX6NBoVAgQJ6U1MVXOaj8PK2l7WJ3RER9xtqwdhxkhw/edit?usp=sharing"",""ประจวบคีรีขันธ์!J25"")"),0.0)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IFERROR(__xludf.DUMMYFUNCTION("IMPORTRANGE(""https://docs.google.com/spreadsheets/d/1SX6NBoVAgQJ6U1MVXOaj8PK2l7WJ3RER9xtqwdhxkhw/edit?usp=sharing"",""ประจวบคีรีขันธ์!I26"")"),0.0)</f>
        <v>0</v>
      </c>
      <c r="J86" s="238">
        <f>IFERROR(__xludf.DUMMYFUNCTION("IMPORTRANGE(""https://docs.google.com/spreadsheets/d/1SX6NBoVAgQJ6U1MVXOaj8PK2l7WJ3RER9xtqwdhxkhw/edit?usp=sharing"",""ประจวบคีรีขันธ์!J26"")"),0.0)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IFERROR(__xludf.DUMMYFUNCTION("IMPORTRANGE(""https://docs.google.com/spreadsheets/d/1SX6NBoVAgQJ6U1MVXOaj8PK2l7WJ3RER9xtqwdhxkhw/edit?usp=sharing"",""ประจวบคีรีขันธ์!I27"")"),0.0)</f>
        <v>0</v>
      </c>
      <c r="J87" s="238">
        <f>IFERROR(__xludf.DUMMYFUNCTION("IMPORTRANGE(""https://docs.google.com/spreadsheets/d/1SX6NBoVAgQJ6U1MVXOaj8PK2l7WJ3RER9xtqwdhxkhw/edit?usp=sharing"",""ประจวบคีรีขันธ์!J27"")"),0.0)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IFERROR(__xludf.DUMMYFUNCTION("IMPORTRANGE(""https://docs.google.com/spreadsheets/d/1SX6NBoVAgQJ6U1MVXOaj8PK2l7WJ3RER9xtqwdhxkhw/edit?usp=sharing"",""ประจวบคีรีขันธ์!I28"")"),0.0)</f>
        <v>0</v>
      </c>
      <c r="J88" s="238">
        <f>IFERROR(__xludf.DUMMYFUNCTION("IMPORTRANGE(""https://docs.google.com/spreadsheets/d/1SX6NBoVAgQJ6U1MVXOaj8PK2l7WJ3RER9xtqwdhxkhw/edit?usp=sharing"",""ประจวบคีรีขันธ์!J28"")"),0.0)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IFERROR(__xludf.DUMMYFUNCTION("IMPORTRANGE(""https://docs.google.com/spreadsheets/d/1SX6NBoVAgQJ6U1MVXOaj8PK2l7WJ3RER9xtqwdhxkhw/edit?usp=sharing"",""ประจวบคีรีขันธ์!J29"")"),0.0)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IFERROR(__xludf.DUMMYFUNCTION("IMPORTRANGE(""https://docs.google.com/spreadsheets/d/1SX6NBoVAgQJ6U1MVXOaj8PK2l7WJ3RER9xtqwdhxkhw/edit?usp=sharing"",""ประจวบคีรีขันธ์!J30"")"),0.0)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IFERROR(__xludf.DUMMYFUNCTION("IMPORTRANGE(""https://docs.google.com/spreadsheets/d/1SX6NBoVAgQJ6U1MVXOaj8PK2l7WJ3RER9xtqwdhxkhw/edit?usp=sharing"",""ประจวบคีรีขันธ์!I32"")"),0.0)</f>
        <v>0</v>
      </c>
      <c r="J92" s="172">
        <f>IFERROR(__xludf.DUMMYFUNCTION("IMPORTRANGE(""https://docs.google.com/spreadsheets/d/1SX6NBoVAgQJ6U1MVXOaj8PK2l7WJ3RER9xtqwdhxkhw/edit?usp=sharing"",""ประจวบคีรีขันธ์!J32"")"),0.0)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IFERROR(__xludf.DUMMYFUNCTION("IMPORTRANGE(""https://docs.google.com/spreadsheets/d/1SX6NBoVAgQJ6U1MVXOaj8PK2l7WJ3RER9xtqwdhxkhw/edit?usp=sharing"",""ประจวบคีรีขันธ์!I33"")"),0.0)</f>
        <v>0</v>
      </c>
      <c r="J93" s="172">
        <f>IFERROR(__xludf.DUMMYFUNCTION("IMPORTRANGE(""https://docs.google.com/spreadsheets/d/1SX6NBoVAgQJ6U1MVXOaj8PK2l7WJ3RER9xtqwdhxkhw/edit?usp=sharing"",""ประจวบคีรีขันธ์!J33"")"),0.0)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IFERROR(__xludf.DUMMYFUNCTION("IMPORTRANGE(""https://docs.google.com/spreadsheets/d/1Yj_ptqi66GCucihVvJfMjLAmec39IyEx_6qawtMGysU/edit?usp=sharing"",""สบก!AR68"")"),0.0)</f>
        <v>0</v>
      </c>
      <c r="N98" s="203">
        <f>IFERROR(__xludf.DUMMYFUNCTION("IMPORTRANGE(""https://docs.google.com/spreadsheets/d/1Yj_ptqi66GCucihVvJfMjLAmec39IyEx_6qawtMGysU/edit?usp=sharing"",""สบก!AS68"")"),0.0)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IFERROR(__xludf.DUMMYFUNCTION("IMPORTRANGE(""https://docs.google.com/spreadsheets/d/1Yj_ptqi66GCucihVvJfMjLAmec39IyEx_6qawtMGysU/edit?usp=sharing"",""สบก!AN68"")"),0.0)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IFERROR(__xludf.DUMMYFUNCTION("IMPORTRANGE(""https://docs.google.com/spreadsheets/d/1Yj_ptqi66GCucihVvJfMjLAmec39IyEx_6qawtMGysU/edit?usp=sharing"",""สบก!AO68"")"),0.0)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IFERROR(__xludf.DUMMYFUNCTION("IMPORTRANGE(""https://docs.google.com/spreadsheets/d/1Yj_ptqi66GCucihVvJfMjLAmec39IyEx_6qawtMGysU/edit?usp=sharing"",""สบก!AP68"")"),0.0)</f>
        <v>0</v>
      </c>
      <c r="M102" s="70"/>
      <c r="N102" s="70">
        <f>IFERROR(__xludf.DUMMYFUNCTION("IMPORTRANGE(""https://docs.google.com/spreadsheets/d/1Yj_ptqi66GCucihVvJfMjLAmec39IyEx_6qawtMGysU/edit?usp=sharing"",""สบก!AT68"")"),0.0)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IFERROR(__xludf.DUMMYFUNCTION("IMPORTRANGE(""https://docs.google.com/spreadsheets/d/1SX6NBoVAgQJ6U1MVXOaj8PK2l7WJ3RER9xtqwdhxkhw/edit?usp=sharing"",""ประจวบคีรีขันธ์!J39"")"),0.0)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IFERROR(__xludf.DUMMYFUNCTION("IMPORTRANGE(""https://docs.google.com/spreadsheets/d/1SX6NBoVAgQJ6U1MVXOaj8PK2l7WJ3RER9xtqwdhxkhw/edit?usp=sharing"",""ประจวบคีรีขันธ์!J40"")"),0.0)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IFERROR(__xludf.DUMMYFUNCTION("IMPORTRANGE(""https://docs.google.com/spreadsheets/d/1SX6NBoVAgQJ6U1MVXOaj8PK2l7WJ3RER9xtqwdhxkhw/edit?usp=sharing"",""ประจวบคีรีขันธ์!J41"")"),0.0)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IFERROR(__xludf.DUMMYFUNCTION("IMPORTRANGE(""https://docs.google.com/spreadsheets/d/1SX6NBoVAgQJ6U1MVXOaj8PK2l7WJ3RER9xtqwdhxkhw/edit?usp=sharing"",""ประจวบคีรีขันธ์!J42"")"),0.0)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IFERROR(__xludf.DUMMYFUNCTION("IMPORTRANGE(""https://docs.google.com/spreadsheets/d/1SX6NBoVAgQJ6U1MVXOaj8PK2l7WJ3RER9xtqwdhxkhw/edit?usp=sharing"",""ประจวบคีรีขันธ์!I43"")"),0.0)</f>
        <v>0</v>
      </c>
      <c r="J108" s="238">
        <f>IFERROR(__xludf.DUMMYFUNCTION("IMPORTRANGE(""https://docs.google.com/spreadsheets/d/1SX6NBoVAgQJ6U1MVXOaj8PK2l7WJ3RER9xtqwdhxkhw/edit?usp=sharing"",""ประจวบคีรีขันธ์!J43"")"),0.0)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IFERROR(__xludf.DUMMYFUNCTION("IMPORTRANGE(""https://docs.google.com/spreadsheets/d/1SX6NBoVAgQJ6U1MVXOaj8PK2l7WJ3RER9xtqwdhxkhw/edit?usp=sharing"",""ประจวบคีรีขันธ์!I44"")"),0.0)</f>
        <v>0</v>
      </c>
      <c r="J109" s="238">
        <f>IFERROR(__xludf.DUMMYFUNCTION("IMPORTRANGE(""https://docs.google.com/spreadsheets/d/1SX6NBoVAgQJ6U1MVXOaj8PK2l7WJ3RER9xtqwdhxkhw/edit?usp=sharing"",""ประจวบคีรีขันธ์!J44"")"),0.0)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IFERROR(__xludf.DUMMYFUNCTION("IMPORTRANGE(""https://docs.google.com/spreadsheets/d/1SX6NBoVAgQJ6U1MVXOaj8PK2l7WJ3RER9xtqwdhxkhw/edit?usp=sharing"",""ประจวบคีรีขันธ์!I45"")"),0.0)</f>
        <v>0</v>
      </c>
      <c r="J110" s="238">
        <f>IFERROR(__xludf.DUMMYFUNCTION("IMPORTRANGE(""https://docs.google.com/spreadsheets/d/1SX6NBoVAgQJ6U1MVXOaj8PK2l7WJ3RER9xtqwdhxkhw/edit?usp=sharing"",""ประจวบคีรีขันธ์!J45"")"),0.0)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IFERROR(__xludf.DUMMYFUNCTION("IMPORTRANGE(""https://docs.google.com/spreadsheets/d/1SX6NBoVAgQJ6U1MVXOaj8PK2l7WJ3RER9xtqwdhxkhw/edit?usp=sharing"",""ประจวบคีรีขันธ์!I46"")"),0.0)</f>
        <v>0</v>
      </c>
      <c r="J111" s="238">
        <f>IFERROR(__xludf.DUMMYFUNCTION("IMPORTRANGE(""https://docs.google.com/spreadsheets/d/1SX6NBoVAgQJ6U1MVXOaj8PK2l7WJ3RER9xtqwdhxkhw/edit?usp=sharing"",""ประจวบคีรีขันธ์!J46"")"),0.0)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IFERROR(__xludf.DUMMYFUNCTION("IMPORTRANGE(""https://docs.google.com/spreadsheets/d/1SX6NBoVAgQJ6U1MVXOaj8PK2l7WJ3RER9xtqwdhxkhw/edit?usp=sharing"",""ประจวบคีรีขันธ์!I47"")"),0.0)</f>
        <v>0</v>
      </c>
      <c r="J112" s="238">
        <f>IFERROR(__xludf.DUMMYFUNCTION("IMPORTRANGE(""https://docs.google.com/spreadsheets/d/1SX6NBoVAgQJ6U1MVXOaj8PK2l7WJ3RER9xtqwdhxkhw/edit?usp=sharing"",""ประจวบคีรีขันธ์!J47"")"),0.0)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IFERROR(__xludf.DUMMYFUNCTION("IMPORTRANGE(""https://docs.google.com/spreadsheets/d/1SX6NBoVAgQJ6U1MVXOaj8PK2l7WJ3RER9xtqwdhxkhw/edit?usp=sharing"",""ประจวบคีรีขันธ์!I48"")"),0.0)</f>
        <v>0</v>
      </c>
      <c r="J113" s="238">
        <f>IFERROR(__xludf.DUMMYFUNCTION("IMPORTRANGE(""https://docs.google.com/spreadsheets/d/1SX6NBoVAgQJ6U1MVXOaj8PK2l7WJ3RER9xtqwdhxkhw/edit?usp=sharing"",""ประจวบคีรีขันธ์!J48"")"),0.0)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IFERROR(__xludf.DUMMYFUNCTION("IMPORTRANGE(""https://docs.google.com/spreadsheets/d/1SX6NBoVAgQJ6U1MVXOaj8PK2l7WJ3RER9xtqwdhxkhw/edit?usp=sharing"",""ประจวบคีรีขันธ์!J49"")"),0.0)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IFERROR(__xludf.DUMMYFUNCTION("IMPORTRANGE(""https://docs.google.com/spreadsheets/d/1SX6NBoVAgQJ6U1MVXOaj8PK2l7WJ3RER9xtqwdhxkhw/edit?usp=sharing"",""ประจวบคีรีขันธ์!J50"")"),0.0)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IFERROR(__xludf.DUMMYFUNCTION("IMPORTRANGE(""https://docs.google.com/spreadsheets/d/1SX6NBoVAgQJ6U1MVXOaj8PK2l7WJ3RER9xtqwdhxkhw/edit?usp=sharing"",""ประจวบคีรีขันธ์!I52"")"),0.0)</f>
        <v>0</v>
      </c>
      <c r="J117" s="172" t="str">
        <f>IFERROR(__xludf.DUMMYFUNCTION("IMPORTRANGE(""https://docs.google.com/spreadsheets/d/1SX6NBoVAgQJ6U1MVXOaj8PK2l7WJ3RER9xtqwdhxkhw/edit?usp=sharing"",""ประจวบคีรีขันธ์!J52"")"),"")</f>
        <v/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IFERROR(__xludf.DUMMYFUNCTION("IMPORTRANGE(""https://docs.google.com/spreadsheets/d/1Yj_ptqi66GCucihVvJfMjLAmec39IyEx_6qawtMGysU/edit?usp=sharing"",""สบก!BA68"")"),0.0)</f>
        <v>0</v>
      </c>
      <c r="N122" s="203">
        <f>IFERROR(__xludf.DUMMYFUNCTION("IMPORTRANGE(""https://docs.google.com/spreadsheets/d/1Yj_ptqi66GCucihVvJfMjLAmec39IyEx_6qawtMGysU/edit?usp=sharing"",""สบก!BB68"")"),0.0)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IFERROR(__xludf.DUMMYFUNCTION("IMPORTRANGE(""https://docs.google.com/spreadsheets/d/1Yj_ptqi66GCucihVvJfMjLAmec39IyEx_6qawtMGysU/edit?usp=sharing"",""สบก!AW68"")"),0.0)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IFERROR(__xludf.DUMMYFUNCTION("IMPORTRANGE(""https://docs.google.com/spreadsheets/d/1Yj_ptqi66GCucihVvJfMjLAmec39IyEx_6qawtMGysU/edit?usp=sharing"",""สบก!AX68"")"),0.0)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IFERROR(__xludf.DUMMYFUNCTION("IMPORTRANGE(""https://docs.google.com/spreadsheets/d/1Yj_ptqi66GCucihVvJfMjLAmec39IyEx_6qawtMGysU/edit?usp=sharing"",""สบก!AY68"")"),0.0)</f>
        <v>0</v>
      </c>
      <c r="M126" s="70"/>
      <c r="N126" s="70">
        <f>IFERROR(__xludf.DUMMYFUNCTION("IMPORTRANGE(""https://docs.google.com/spreadsheets/d/1Yj_ptqi66GCucihVvJfMjLAmec39IyEx_6qawtMGysU/edit?usp=sharing"",""สบก!BC68"")"),0.0)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258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IFERROR(__xludf.DUMMYFUNCTION("IMPORTRANGE(""https://docs.google.com/spreadsheets/d/1SX6NBoVAgQJ6U1MVXOaj8PK2l7WJ3RER9xtqwdhxkhw/edit?usp=sharing"",""ประจวบคีรีขันธ์!J58"")"),0.0)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IFERROR(__xludf.DUMMYFUNCTION("IMPORTRANGE(""https://docs.google.com/spreadsheets/d/1SX6NBoVAgQJ6U1MVXOaj8PK2l7WJ3RER9xtqwdhxkhw/edit?usp=sharing"",""ประจวบคีรีขันธ์!J59"")"),0.0)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IFERROR(__xludf.DUMMYFUNCTION("IMPORTRANGE(""https://docs.google.com/spreadsheets/d/1SX6NBoVAgQJ6U1MVXOaj8PK2l7WJ3RER9xtqwdhxkhw/edit?usp=sharing"",""ประจวบคีรีขันธ์!J60"")"),0.0)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IFERROR(__xludf.DUMMYFUNCTION("IMPORTRANGE(""https://docs.google.com/spreadsheets/d/1SX6NBoVAgQJ6U1MVXOaj8PK2l7WJ3RER9xtqwdhxkhw/edit?usp=sharing"",""ประจวบคีรีขันธ์!J61"")"),0.0)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IFERROR(__xludf.DUMMYFUNCTION("IMPORTRANGE(""https://docs.google.com/spreadsheets/d/1SX6NBoVAgQJ6U1MVXOaj8PK2l7WJ3RER9xtqwdhxkhw/edit?usp=sharing"",""ประจวบคีรีขันธ์!I62"")"),0.0)</f>
        <v>0</v>
      </c>
      <c r="J132" s="238" t="str">
        <f>IFERROR(__xludf.DUMMYFUNCTION("IMPORTRANGE(""https://docs.google.com/spreadsheets/d/1SX6NBoVAgQJ6U1MVXOaj8PK2l7WJ3RER9xtqwdhxkhw/edit?usp=sharing"",""ประจวบคีรีขันธ์!J62"")"),"")</f>
        <v/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IFERROR(__xludf.DUMMYFUNCTION("IMPORTRANGE(""https://docs.google.com/spreadsheets/d/1SX6NBoVAgQJ6U1MVXOaj8PK2l7WJ3RER9xtqwdhxkhw/edit?usp=sharing"",""ประจวบคีรีขันธ์!I63"")"),0.0)</f>
        <v>0</v>
      </c>
      <c r="J133" s="238">
        <f>IFERROR(__xludf.DUMMYFUNCTION("IMPORTRANGE(""https://docs.google.com/spreadsheets/d/1SX6NBoVAgQJ6U1MVXOaj8PK2l7WJ3RER9xtqwdhxkhw/edit?usp=sharing"",""ประจวบคีรีขันธ์!J63"")"),0.0)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IFERROR(__xludf.DUMMYFUNCTION("IMPORTRANGE(""https://docs.google.com/spreadsheets/d/1SX6NBoVAgQJ6U1MVXOaj8PK2l7WJ3RER9xtqwdhxkhw/edit?usp=sharing"",""ประจวบคีรีขันธ์!J64"")"),0.0)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IFERROR(__xludf.DUMMYFUNCTION("IMPORTRANGE(""https://docs.google.com/spreadsheets/d/1SX6NBoVAgQJ6U1MVXOaj8PK2l7WJ3RER9xtqwdhxkhw/edit?usp=sharing"",""ประจวบคีรีขันธ์!J65"")"),0.0)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IFERROR(__xludf.DUMMYFUNCTION("IMPORTRANGE(""https://docs.google.com/spreadsheets/d/1SX6NBoVAgQJ6U1MVXOaj8PK2l7WJ3RER9xtqwdhxkhw/edit?usp=sharing"",""ประจวบคีรีขันธ์!I68"")"),0.0)</f>
        <v>0</v>
      </c>
      <c r="J138" s="301">
        <f>IFERROR(__xludf.DUMMYFUNCTION("IMPORTRANGE(""https://docs.google.com/spreadsheets/d/1SX6NBoVAgQJ6U1MVXOaj8PK2l7WJ3RER9xtqwdhxkhw/edit?usp=sharing"",""ประจวบคีรีขันธ์!J68"")"),0.0)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44500</v>
      </c>
      <c r="M140" s="183">
        <f t="shared" si="65"/>
        <v>31750</v>
      </c>
      <c r="N140" s="183">
        <f t="shared" si="65"/>
        <v>2200</v>
      </c>
      <c r="O140" s="182">
        <f t="shared" ref="O140:O142" si="67">IF(L140&gt;0,N140*100/L140,0)</f>
        <v>4.943820225</v>
      </c>
      <c r="P140" s="182">
        <f t="shared" ref="P140:P142" si="68">IF(M140&gt;0,N140*100/M140,0)</f>
        <v>6.929133858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44500</v>
      </c>
      <c r="M142" s="188">
        <f t="shared" si="69"/>
        <v>31750</v>
      </c>
      <c r="N142" s="188">
        <f t="shared" si="69"/>
        <v>2200</v>
      </c>
      <c r="O142" s="187">
        <f t="shared" si="67"/>
        <v>4.943820225</v>
      </c>
      <c r="P142" s="187">
        <f t="shared" si="68"/>
        <v>6.929133858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44500</v>
      </c>
      <c r="M144" s="200">
        <f>IFERROR(__xludf.DUMMYFUNCTION("IMPORTRANGE(""https://docs.google.com/spreadsheets/d/1Yj_ptqi66GCucihVvJfMjLAmec39IyEx_6qawtMGysU/edit?usp=sharing"",""สบก!BJ68"")"),31750.0)</f>
        <v>31750</v>
      </c>
      <c r="N144" s="203">
        <f>IFERROR(__xludf.DUMMYFUNCTION("IMPORTRANGE(""https://docs.google.com/spreadsheets/d/1Yj_ptqi66GCucihVvJfMjLAmec39IyEx_6qawtMGysU/edit?usp=sharing"",""สบก!BK68"")"),2200.0)</f>
        <v>2200</v>
      </c>
      <c r="O144" s="203">
        <f>IF(L144&gt;0,N144*100/L144,0)</f>
        <v>4.943820225</v>
      </c>
      <c r="P144" s="203">
        <f>IF(M144&gt;0,N144*100/M144,0)</f>
        <v>6.929133858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IFERROR(__xludf.DUMMYFUNCTION("IMPORTRANGE(""https://docs.google.com/spreadsheets/d/1Yj_ptqi66GCucihVvJfMjLAmec39IyEx_6qawtMGysU/edit?usp=sharing"",""สบก!BF68"")"),0.0)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IFERROR(__xludf.DUMMYFUNCTION("IMPORTRANGE(""https://docs.google.com/spreadsheets/d/1Yj_ptqi66GCucihVvJfMjLAmec39IyEx_6qawtMGysU/edit?usp=sharing"",""สบก!BG68"")"),44500.0)</f>
        <v>44500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IFERROR(__xludf.DUMMYFUNCTION("IMPORTRANGE(""https://docs.google.com/spreadsheets/d/1Yj_ptqi66GCucihVvJfMjLAmec39IyEx_6qawtMGysU/edit?usp=sharing"",""สบก!BH68"")"),0.0)</f>
        <v>0</v>
      </c>
      <c r="M148" s="70"/>
      <c r="N148" s="70">
        <f>IFERROR(__xludf.DUMMYFUNCTION("IMPORTRANGE(""https://docs.google.com/spreadsheets/d/1Yj_ptqi66GCucihVvJfMjLAmec39IyEx_6qawtMGysU/edit?usp=sharing"",""สบก!BL68"")"),0.0)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IFERROR(__xludf.DUMMYFUNCTION("IMPORTRANGE(""https://docs.google.com/spreadsheets/d/1SX6NBoVAgQJ6U1MVXOaj8PK2l7WJ3RER9xtqwdhxkhw/edit?usp=sharing"",""ประจวบคีรีขันธ์!I74"")"),4.0)</f>
        <v>4</v>
      </c>
      <c r="J149" s="309">
        <f>IFERROR(__xludf.DUMMYFUNCTION("IMPORTRANGE(""https://docs.google.com/spreadsheets/d/1SX6NBoVAgQJ6U1MVXOaj8PK2l7WJ3RER9xtqwdhxkhw/edit?usp=sharing"",""ประจวบคีรีขันธ์!J74"")"),1.0)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IFERROR(__xludf.DUMMYFUNCTION("IMPORTRANGE(""https://docs.google.com/spreadsheets/d/1SX6NBoVAgQJ6U1MVXOaj8PK2l7WJ3RER9xtqwdhxkhw/edit?usp=sharing"",""ประจวบคีรีขันธ์!J79"")"),0.0)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IFERROR(__xludf.DUMMYFUNCTION("IMPORTRANGE(""https://docs.google.com/spreadsheets/d/1SX6NBoVAgQJ6U1MVXOaj8PK2l7WJ3RER9xtqwdhxkhw/edit?usp=sharing"",""ประจวบคีรีขันธ์!J80"")"),1.0)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IFERROR(__xludf.DUMMYFUNCTION("IMPORTRANGE(""https://docs.google.com/spreadsheets/d/1SX6NBoVAgQJ6U1MVXOaj8PK2l7WJ3RER9xtqwdhxkhw/edit?usp=sharing"",""ประจวบคีรีขันธ์!J81"")"),1.0)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IFERROR(__xludf.DUMMYFUNCTION("IMPORTRANGE(""https://docs.google.com/spreadsheets/d/1SX6NBoVAgQJ6U1MVXOaj8PK2l7WJ3RER9xtqwdhxkhw/edit?usp=sharing"",""ประจวบคีรีขันธ์!J82"")"),0.0)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IFERROR(__xludf.DUMMYFUNCTION("IMPORTRANGE(""https://docs.google.com/spreadsheets/d/1SX6NBoVAgQJ6U1MVXOaj8PK2l7WJ3RER9xtqwdhxkhw/edit?usp=sharing"",""ประจวบคีรีขันธ์!I83"")"),4.0)</f>
        <v>4</v>
      </c>
      <c r="J158" s="223">
        <f>IFERROR(__xludf.DUMMYFUNCTION("IMPORTRANGE(""https://docs.google.com/spreadsheets/d/1SX6NBoVAgQJ6U1MVXOaj8PK2l7WJ3RER9xtqwdhxkhw/edit?usp=sharing"",""ประจวบคีรีขันธ์!J83"")"),1.0)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IFERROR(__xludf.DUMMYFUNCTION("IMPORTRANGE(""https://docs.google.com/spreadsheets/d/1SX6NBoVAgQJ6U1MVXOaj8PK2l7WJ3RER9xtqwdhxkhw/edit?usp=sharing"",""ประจวบคีรีขันธ์!J84"")"),27.0)</f>
        <v>27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IFERROR(__xludf.DUMMYFUNCTION("IMPORTRANGE(""https://docs.google.com/spreadsheets/d/1SX6NBoVAgQJ6U1MVXOaj8PK2l7WJ3RER9xtqwdhxkhw/edit?usp=sharing"",""ประจวบคีรีขันธ์!J85"")"),27.0)</f>
        <v>27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IFERROR(__xludf.DUMMYFUNCTION("IMPORTRANGE(""https://docs.google.com/spreadsheets/d/1SX6NBoVAgQJ6U1MVXOaj8PK2l7WJ3RER9xtqwdhxkhw/edit?usp=sharing"",""ประจวบคีรีขันธ์!J86"")"),0.0)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IFERROR(__xludf.DUMMYFUNCTION("IMPORTRANGE(""https://docs.google.com/spreadsheets/d/1SX6NBoVAgQJ6U1MVXOaj8PK2l7WJ3RER9xtqwdhxkhw/edit?usp=sharing"",""ประจวบคีรีขันธ์!J87"")"),0.0)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IFERROR(__xludf.DUMMYFUNCTION("IMPORTRANGE(""https://docs.google.com/spreadsheets/d/1SX6NBoVAgQJ6U1MVXOaj8PK2l7WJ3RER9xtqwdhxkhw/edit?usp=sharing"",""ประจวบคีรีขันธ์!J88"")"),0.0)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IFERROR(__xludf.DUMMYFUNCTION("IMPORTRANGE(""https://docs.google.com/spreadsheets/d/1SX6NBoVAgQJ6U1MVXOaj8PK2l7WJ3RER9xtqwdhxkhw/edit?usp=sharing"",""ประจวบคีรีขันธ์!I89"")"),2.0)</f>
        <v>2</v>
      </c>
      <c r="J164" s="317">
        <f>IFERROR(__xludf.DUMMYFUNCTION("IMPORTRANGE(""https://docs.google.com/spreadsheets/d/1SX6NBoVAgQJ6U1MVXOaj8PK2l7WJ3RER9xtqwdhxkhw/edit?usp=sharing"",""ประจวบคีรีขันธ์!J89"")"),0.0)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IFERROR(__xludf.DUMMYFUNCTION("IMPORTRANGE(""https://docs.google.com/spreadsheets/d/1SX6NBoVAgQJ6U1MVXOaj8PK2l7WJ3RER9xtqwdhxkhw/edit?usp=sharing"",""ประจวบคีรีขันธ์!J94"")"),0.0)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IFERROR(__xludf.DUMMYFUNCTION("IMPORTRANGE(""https://docs.google.com/spreadsheets/d/1SX6NBoVAgQJ6U1MVXOaj8PK2l7WJ3RER9xtqwdhxkhw/edit?usp=sharing"",""ประจวบคีรีขันธ์!J95"")"),1.0)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IFERROR(__xludf.DUMMYFUNCTION("IMPORTRANGE(""https://docs.google.com/spreadsheets/d/1SX6NBoVAgQJ6U1MVXOaj8PK2l7WJ3RER9xtqwdhxkhw/edit?usp=sharing"",""ประจวบคีรีขันธ์!J96"")"),1.0)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IFERROR(__xludf.DUMMYFUNCTION("IMPORTRANGE(""https://docs.google.com/spreadsheets/d/1SX6NBoVAgQJ6U1MVXOaj8PK2l7WJ3RER9xtqwdhxkhw/edit?usp=sharing"",""ประจวบคีรีขันธ์!J97"")"),1.0)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IFERROR(__xludf.DUMMYFUNCTION("IMPORTRANGE(""https://docs.google.com/spreadsheets/d/1SX6NBoVAgQJ6U1MVXOaj8PK2l7WJ3RER9xtqwdhxkhw/edit?usp=sharing"",""ประจวบคีรีขันธ์!I98"")"),2.0)</f>
        <v>2</v>
      </c>
      <c r="J173" s="223">
        <f>IFERROR(__xludf.DUMMYFUNCTION("IMPORTRANGE(""https://docs.google.com/spreadsheets/d/1SX6NBoVAgQJ6U1MVXOaj8PK2l7WJ3RER9xtqwdhxkhw/edit?usp=sharing"",""ประจวบคีรีขันธ์!J98"")"),0.0)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IFERROR(__xludf.DUMMYFUNCTION("IMPORTRANGE(""https://docs.google.com/spreadsheets/d/1SX6NBoVAgQJ6U1MVXOaj8PK2l7WJ3RER9xtqwdhxkhw/edit?usp=sharing"",""ประจวบคีรีขันธ์!J99"")"),0.0)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IFERROR(__xludf.DUMMYFUNCTION("IMPORTRANGE(""https://docs.google.com/spreadsheets/d/1SX6NBoVAgQJ6U1MVXOaj8PK2l7WJ3RER9xtqwdhxkhw/edit?usp=sharing"",""ประจวบคีรีขันธ์!J100"")"),0.0)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IFERROR(__xludf.DUMMYFUNCTION("IMPORTRANGE(""https://docs.google.com/spreadsheets/d/1SX6NBoVAgQJ6U1MVXOaj8PK2l7WJ3RER9xtqwdhxkhw/edit?usp=sharing"",""ประจวบคีรีขันธ์!I101"")"),0.0)</f>
        <v>0</v>
      </c>
      <c r="J176" s="317">
        <f>IFERROR(__xludf.DUMMYFUNCTION("IMPORTRANGE(""https://docs.google.com/spreadsheets/d/1SX6NBoVAgQJ6U1MVXOaj8PK2l7WJ3RER9xtqwdhxkhw/edit?usp=sharing"",""ประจวบคีรีขันธ์!J101"")"),0.0)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IFERROR(__xludf.DUMMYFUNCTION("IMPORTRANGE(""https://docs.google.com/spreadsheets/d/1SX6NBoVAgQJ6U1MVXOaj8PK2l7WJ3RER9xtqwdhxkhw/edit?usp=sharing"",""ประจวบคีรีขันธ์!J106"")"),0.0)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IFERROR(__xludf.DUMMYFUNCTION("IMPORTRANGE(""https://docs.google.com/spreadsheets/d/1SX6NBoVAgQJ6U1MVXOaj8PK2l7WJ3RER9xtqwdhxkhw/edit?usp=sharing"",""ประจวบคีรีขันธ์!J107"")"),0.0)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IFERROR(__xludf.DUMMYFUNCTION("IMPORTRANGE(""https://docs.google.com/spreadsheets/d/1SX6NBoVAgQJ6U1MVXOaj8PK2l7WJ3RER9xtqwdhxkhw/edit?usp=sharing"",""ประจวบคีรีขันธ์!J108"")"),0.0)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IFERROR(__xludf.DUMMYFUNCTION("IMPORTRANGE(""https://docs.google.com/spreadsheets/d/1SX6NBoVAgQJ6U1MVXOaj8PK2l7WJ3RER9xtqwdhxkhw/edit?usp=sharing"",""ประจวบคีรีขันธ์!J109"")"),0.0)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IFERROR(__xludf.DUMMYFUNCTION("IMPORTRANGE(""https://docs.google.com/spreadsheets/d/1SX6NBoVAgQJ6U1MVXOaj8PK2l7WJ3RER9xtqwdhxkhw/edit?usp=sharing"",""ประจวบคีรีขันธ์!I110"")"),0.0)</f>
        <v>0</v>
      </c>
      <c r="J185" s="238">
        <f>IFERROR(__xludf.DUMMYFUNCTION("IMPORTRANGE(""https://docs.google.com/spreadsheets/d/1SX6NBoVAgQJ6U1MVXOaj8PK2l7WJ3RER9xtqwdhxkhw/edit?usp=sharing"",""ประจวบคีรีขันธ์!J110"")"),0.0)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IFERROR(__xludf.DUMMYFUNCTION("IMPORTRANGE(""https://docs.google.com/spreadsheets/d/1SX6NBoVAgQJ6U1MVXOaj8PK2l7WJ3RER9xtqwdhxkhw/edit?usp=sharing"",""ประจวบคีรีขันธ์!I111"")"),0.0)</f>
        <v>0</v>
      </c>
      <c r="J186" s="238">
        <f>IFERROR(__xludf.DUMMYFUNCTION("IMPORTRANGE(""https://docs.google.com/spreadsheets/d/1SX6NBoVAgQJ6U1MVXOaj8PK2l7WJ3RER9xtqwdhxkhw/edit?usp=sharing"",""ประจวบคีรีขันธ์!J111"")"),0.0)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IFERROR(__xludf.DUMMYFUNCTION("IMPORTRANGE(""https://docs.google.com/spreadsheets/d/1SX6NBoVAgQJ6U1MVXOaj8PK2l7WJ3RER9xtqwdhxkhw/edit?usp=sharing"",""ประจวบคีรีขันธ์!J112"")"),0.0)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IFERROR(__xludf.DUMMYFUNCTION("IMPORTRANGE(""https://docs.google.com/spreadsheets/d/1SX6NBoVAgQJ6U1MVXOaj8PK2l7WJ3RER9xtqwdhxkhw/edit?usp=sharing"",""ประจวบคีรีขันธ์!J113"")"),0.0)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IFERROR(__xludf.DUMMYFUNCTION("IMPORTRANGE(""https://docs.google.com/spreadsheets/d/1SX6NBoVAgQJ6U1MVXOaj8PK2l7WJ3RER9xtqwdhxkhw/edit?usp=sharing"",""ประจวบคีรีขันธ์!I114"")"),20000.0)</f>
        <v>20000</v>
      </c>
      <c r="J189" s="317">
        <f>IFERROR(__xludf.DUMMYFUNCTION("IMPORTRANGE(""https://docs.google.com/spreadsheets/d/1SX6NBoVAgQJ6U1MVXOaj8PK2l7WJ3RER9xtqwdhxkhw/edit?usp=sharing"",""ประจวบคีรีขันธ์!J114"")"),0.0)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IFERROR(__xludf.DUMMYFUNCTION("IMPORTRANGE(""https://docs.google.com/spreadsheets/d/1SX6NBoVAgQJ6U1MVXOaj8PK2l7WJ3RER9xtqwdhxkhw/edit?usp=sharing"",""ประจวบคีรีขันธ์!J119"")"),0.0)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IFERROR(__xludf.DUMMYFUNCTION("IMPORTRANGE(""https://docs.google.com/spreadsheets/d/1SX6NBoVAgQJ6U1MVXOaj8PK2l7WJ3RER9xtqwdhxkhw/edit?usp=sharing"",""ประจวบคีรีขันธ์!J120"")"),1.0)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IFERROR(__xludf.DUMMYFUNCTION("IMPORTRANGE(""https://docs.google.com/spreadsheets/d/1SX6NBoVAgQJ6U1MVXOaj8PK2l7WJ3RER9xtqwdhxkhw/edit?usp=sharing"",""ประจวบคีรีขันธ์!J121"")"),1.0)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IFERROR(__xludf.DUMMYFUNCTION("IMPORTRANGE(""https://docs.google.com/spreadsheets/d/1SX6NBoVAgQJ6U1MVXOaj8PK2l7WJ3RER9xtqwdhxkhw/edit?usp=sharing"",""ประจวบคีรีขันธ์!J122"")"),0.0)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IFERROR(__xludf.DUMMYFUNCTION("IMPORTRANGE(""https://docs.google.com/spreadsheets/d/1SX6NBoVAgQJ6U1MVXOaj8PK2l7WJ3RER9xtqwdhxkhw/edit?usp=sharing"",""ประจวบคีรีขันธ์!I124"")"),20000.0)</f>
        <v>20000</v>
      </c>
      <c r="J199" s="223">
        <f>IFERROR(__xludf.DUMMYFUNCTION("IMPORTRANGE(""https://docs.google.com/spreadsheets/d/1SX6NBoVAgQJ6U1MVXOaj8PK2l7WJ3RER9xtqwdhxkhw/edit?usp=sharing"",""ประจวบคีรีขันธ์!J124"")"),0.0)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IFERROR(__xludf.DUMMYFUNCTION("IMPORTRANGE(""https://docs.google.com/spreadsheets/d/1SX6NBoVAgQJ6U1MVXOaj8PK2l7WJ3RER9xtqwdhxkhw/edit?usp=sharing"",""ประจวบคีรีขันธ์!I125"")"),20000.0)</f>
        <v>20000</v>
      </c>
      <c r="J200" s="223">
        <f>IFERROR(__xludf.DUMMYFUNCTION("IMPORTRANGE(""https://docs.google.com/spreadsheets/d/1SX6NBoVAgQJ6U1MVXOaj8PK2l7WJ3RER9xtqwdhxkhw/edit?usp=sharing"",""ประจวบคีรีขันธ์!J125"")"),0.0)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IFERROR(__xludf.DUMMYFUNCTION("IMPORTRANGE(""https://docs.google.com/spreadsheets/d/1SX6NBoVAgQJ6U1MVXOaj8PK2l7WJ3RER9xtqwdhxkhw/edit?usp=sharing"",""ประจวบคีรีขันธ์!I126"")"),0.0)</f>
        <v>0</v>
      </c>
      <c r="J201" s="223">
        <f>IFERROR(__xludf.DUMMYFUNCTION("IMPORTRANGE(""https://docs.google.com/spreadsheets/d/1SX6NBoVAgQJ6U1MVXOaj8PK2l7WJ3RER9xtqwdhxkhw/edit?usp=sharing"",""ประจวบคีรีขันธ์!J126"")"),0.0)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IFERROR(__xludf.DUMMYFUNCTION("IMPORTRANGE(""https://docs.google.com/spreadsheets/d/1SX6NBoVAgQJ6U1MVXOaj8PK2l7WJ3RER9xtqwdhxkhw/edit?usp=sharing"",""ประจวบคีรีขันธ์!J127"")"),0.0)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IFERROR(__xludf.DUMMYFUNCTION("IMPORTRANGE(""https://docs.google.com/spreadsheets/d/1SX6NBoVAgQJ6U1MVXOaj8PK2l7WJ3RER9xtqwdhxkhw/edit?usp=sharing"",""ประจวบคีรีขันธ์!J128"")"),0.0)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IFERROR(__xludf.DUMMYFUNCTION("IMPORTRANGE(""https://docs.google.com/spreadsheets/d/1SX6NBoVAgQJ6U1MVXOaj8PK2l7WJ3RER9xtqwdhxkhw/edit?usp=sharing"",""ประจวบคีรีขันธ์!I129"")"),0.0)</f>
        <v>0</v>
      </c>
      <c r="J204" s="317">
        <f>IFERROR(__xludf.DUMMYFUNCTION("IMPORTRANGE(""https://docs.google.com/spreadsheets/d/1SX6NBoVAgQJ6U1MVXOaj8PK2l7WJ3RER9xtqwdhxkhw/edit?usp=sharing"",""ประจวบคีรีขันธ์!J129"")"),0.0)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IFERROR(__xludf.DUMMYFUNCTION("IMPORTRANGE(""https://docs.google.com/spreadsheets/d/1SX6NBoVAgQJ6U1MVXOaj8PK2l7WJ3RER9xtqwdhxkhw/edit?usp=sharing"",""ประจวบคีรีขันธ์!J134"")"),0.0)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IFERROR(__xludf.DUMMYFUNCTION("IMPORTRANGE(""https://docs.google.com/spreadsheets/d/1SX6NBoVAgQJ6U1MVXOaj8PK2l7WJ3RER9xtqwdhxkhw/edit?usp=sharing"",""ประจวบคีรีขันธ์!J135"")"),0.0)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IFERROR(__xludf.DUMMYFUNCTION("IMPORTRANGE(""https://docs.google.com/spreadsheets/d/1SX6NBoVAgQJ6U1MVXOaj8PK2l7WJ3RER9xtqwdhxkhw/edit?usp=sharing"",""ประจวบคีรีขันธ์!J136"")"),0.0)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IFERROR(__xludf.DUMMYFUNCTION("IMPORTRANGE(""https://docs.google.com/spreadsheets/d/1SX6NBoVAgQJ6U1MVXOaj8PK2l7WJ3RER9xtqwdhxkhw/edit?usp=sharing"",""ประจวบคีรีขันธ์!J137"")"),0.0)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IFERROR(__xludf.DUMMYFUNCTION("IMPORTRANGE(""https://docs.google.com/spreadsheets/d/1SX6NBoVAgQJ6U1MVXOaj8PK2l7WJ3RER9xtqwdhxkhw/edit?usp=sharing"",""ประจวบคีรีขันธ์!I138"")"),0.0)</f>
        <v>0</v>
      </c>
      <c r="J213" s="238">
        <f>IFERROR(__xludf.DUMMYFUNCTION("IMPORTRANGE(""https://docs.google.com/spreadsheets/d/1SX6NBoVAgQJ6U1MVXOaj8PK2l7WJ3RER9xtqwdhxkhw/edit?usp=sharing"",""ประจวบคีรีขันธ์!J138"")"),0.0)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IFERROR(__xludf.DUMMYFUNCTION("IMPORTRANGE(""https://docs.google.com/spreadsheets/d/1SX6NBoVAgQJ6U1MVXOaj8PK2l7WJ3RER9xtqwdhxkhw/edit?usp=sharing"",""ประจวบคีรีขันธ์!I140"")"),0.0)</f>
        <v>0</v>
      </c>
      <c r="J215" s="238">
        <f>IFERROR(__xludf.DUMMYFUNCTION("IMPORTRANGE(""https://docs.google.com/spreadsheets/d/1SX6NBoVAgQJ6U1MVXOaj8PK2l7WJ3RER9xtqwdhxkhw/edit?usp=sharing"",""ประจวบคีรีขันธ์!J140"")"),0.0)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IFERROR(__xludf.DUMMYFUNCTION("IMPORTRANGE(""https://docs.google.com/spreadsheets/d/1SX6NBoVAgQJ6U1MVXOaj8PK2l7WJ3RER9xtqwdhxkhw/edit?usp=sharing"",""ประจวบคีรีขันธ์!I141"")"),0.0)</f>
        <v>0</v>
      </c>
      <c r="J216" s="238">
        <f>IFERROR(__xludf.DUMMYFUNCTION("IMPORTRANGE(""https://docs.google.com/spreadsheets/d/1SX6NBoVAgQJ6U1MVXOaj8PK2l7WJ3RER9xtqwdhxkhw/edit?usp=sharing"",""ประจวบคีรีขันธ์!J141"")"),0.0)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IFERROR(__xludf.DUMMYFUNCTION("IMPORTRANGE(""https://docs.google.com/spreadsheets/d/1SX6NBoVAgQJ6U1MVXOaj8PK2l7WJ3RER9xtqwdhxkhw/edit?usp=sharing"",""ประจวบคีรีขันธ์!J142"")"),0.0)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IFERROR(__xludf.DUMMYFUNCTION("IMPORTRANGE(""https://docs.google.com/spreadsheets/d/1SX6NBoVAgQJ6U1MVXOaj8PK2l7WJ3RER9xtqwdhxkhw/edit?usp=sharing"",""ประจวบคีรีขันธ์!J143"")"),0.0)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IFERROR(__xludf.DUMMYFUNCTION("IMPORTRANGE(""https://docs.google.com/spreadsheets/d/1SX6NBoVAgQJ6U1MVXOaj8PK2l7WJ3RER9xtqwdhxkhw/edit?usp=sharing"",""ประจวบคีรีขันธ์!I144"")"),14.0)</f>
        <v>14</v>
      </c>
      <c r="J219" s="301">
        <f>IFERROR(__xludf.DUMMYFUNCTION("IMPORTRANGE(""https://docs.google.com/spreadsheets/d/1SX6NBoVAgQJ6U1MVXOaj8PK2l7WJ3RER9xtqwdhxkhw/edit?usp=sharing"",""ประจวบคีรีขันธ์!J144"")"),0.0)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0">
        <f>IFERROR(__xludf.DUMMYFUNCTION("IMPORTRANGE(""https://docs.google.com/spreadsheets/d/1Yj_ptqi66GCucihVvJfMjLAmec39IyEx_6qawtMGysU/edit?usp=sharing"",""สบก!BS68"")"),20210.0)</f>
        <v>20210</v>
      </c>
      <c r="N224" s="203">
        <f>IFERROR(__xludf.DUMMYFUNCTION("IMPORTRANGE(""https://docs.google.com/spreadsheets/d/1Yj_ptqi66GCucihVvJfMjLAmec39IyEx_6qawtMGysU/edit?usp=sharing"",""สบก!BT68"")"),0.0)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IFERROR(__xludf.DUMMYFUNCTION("IMPORTRANGE(""https://docs.google.com/spreadsheets/d/1Yj_ptqi66GCucihVvJfMjLAmec39IyEx_6qawtMGysU/edit?usp=sharing"",""สบก!BO68"")"),0.0)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IFERROR(__xludf.DUMMYFUNCTION("IMPORTRANGE(""https://docs.google.com/spreadsheets/d/1Yj_ptqi66GCucihVvJfMjLAmec39IyEx_6qawtMGysU/edit?usp=sharing"",""สบก!BP68"")"),20210.0)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IFERROR(__xludf.DUMMYFUNCTION("IMPORTRANGE(""https://docs.google.com/spreadsheets/d/1Yj_ptqi66GCucihVvJfMjLAmec39IyEx_6qawtMGysU/edit?usp=sharing"",""สบก!BQ68"")"),0.0)</f>
        <v>0</v>
      </c>
      <c r="M228" s="70"/>
      <c r="N228" s="70">
        <f>IFERROR(__xludf.DUMMYFUNCTION("IMPORTRANGE(""https://docs.google.com/spreadsheets/d/1Yj_ptqi66GCucihVvJfMjLAmec39IyEx_6qawtMGysU/edit?usp=sharing"",""สบก!BU68"")"),0.0)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IFERROR(__xludf.DUMMYFUNCTION("IMPORTRANGE(""https://docs.google.com/spreadsheets/d/1SX6NBoVAgQJ6U1MVXOaj8PK2l7WJ3RER9xtqwdhxkhw/edit?usp=sharing"",""ประจวบคีรีขันธ์!I149"")"),14.0)</f>
        <v>14</v>
      </c>
      <c r="J229" s="301">
        <f>IFERROR(__xludf.DUMMYFUNCTION("IMPORTRANGE(""https://docs.google.com/spreadsheets/d/1SX6NBoVAgQJ6U1MVXOaj8PK2l7WJ3RER9xtqwdhxkhw/edit?usp=sharing"",""ประจวบคีรีขันธ์!J149"")"),0.0)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IFERROR(__xludf.DUMMYFUNCTION("IMPORTRANGE(""https://docs.google.com/spreadsheets/d/1SX6NBoVAgQJ6U1MVXOaj8PK2l7WJ3RER9xtqwdhxkhw/edit?usp=sharing"",""ประจวบคีรีขันธ์!J151"")"),0.0)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IFERROR(__xludf.DUMMYFUNCTION("IMPORTRANGE(""https://docs.google.com/spreadsheets/d/1SX6NBoVAgQJ6U1MVXOaj8PK2l7WJ3RER9xtqwdhxkhw/edit?usp=sharing"",""ประจวบคีรีขันธ์!J152"")"),1.0)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IFERROR(__xludf.DUMMYFUNCTION("IMPORTRANGE(""https://docs.google.com/spreadsheets/d/1SX6NBoVAgQJ6U1MVXOaj8PK2l7WJ3RER9xtqwdhxkhw/edit?usp=sharing"",""ประจวบคีรีขันธ์!J153"")"),1.0)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IFERROR(__xludf.DUMMYFUNCTION("IMPORTRANGE(""https://docs.google.com/spreadsheets/d/1SX6NBoVAgQJ6U1MVXOaj8PK2l7WJ3RER9xtqwdhxkhw/edit?usp=sharing"",""ประจวบคีรีขันธ์!J154"")"),0.0)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IFERROR(__xludf.DUMMYFUNCTION("IMPORTRANGE(""https://docs.google.com/spreadsheets/d/1SX6NBoVAgQJ6U1MVXOaj8PK2l7WJ3RER9xtqwdhxkhw/edit?usp=sharing"",""ประจวบคีรีขันธ์!I155"")"),14.0)</f>
        <v>14</v>
      </c>
      <c r="J235" s="223">
        <f>IFERROR(__xludf.DUMMYFUNCTION("IMPORTRANGE(""https://docs.google.com/spreadsheets/d/1SX6NBoVAgQJ6U1MVXOaj8PK2l7WJ3RER9xtqwdhxkhw/edit?usp=sharing"",""ประจวบคีรีขันธ์!J155"")"),0.0)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IFERROR(__xludf.DUMMYFUNCTION("IMPORTRANGE(""https://docs.google.com/spreadsheets/d/1SX6NBoVAgQJ6U1MVXOaj8PK2l7WJ3RER9xtqwdhxkhw/edit?usp=sharing"",""ประจวบคีรีขันธ์!J156"")"),0.0)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IFERROR(__xludf.DUMMYFUNCTION("IMPORTRANGE(""https://docs.google.com/spreadsheets/d/1SX6NBoVAgQJ6U1MVXOaj8PK2l7WJ3RER9xtqwdhxkhw/edit?usp=sharing"",""ประจวบคีรีขันธ์!J157"")"),0.0)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IFERROR(__xludf.DUMMYFUNCTION("IMPORTRANGE(""https://docs.google.com/spreadsheets/d/1SX6NBoVAgQJ6U1MVXOaj8PK2l7WJ3RER9xtqwdhxkhw/edit?usp=sharing"",""ประจวบคีรีขันธ์!I158"")"),0.0)</f>
        <v>0</v>
      </c>
      <c r="J238" s="301">
        <f>IFERROR(__xludf.DUMMYFUNCTION("IMPORTRANGE(""https://docs.google.com/spreadsheets/d/1SX6NBoVAgQJ6U1MVXOaj8PK2l7WJ3RER9xtqwdhxkhw/edit?usp=sharing"",""ประจวบคีรีขันธ์!J158"")"),0.0)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IFERROR(__xludf.DUMMYFUNCTION("IMPORTRANGE(""https://docs.google.com/spreadsheets/d/1SX6NBoVAgQJ6U1MVXOaj8PK2l7WJ3RER9xtqwdhxkhw/edit?usp=sharing"",""ประจวบคีรีขันธ์!J159"")"),"")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IFERROR(__xludf.DUMMYFUNCTION("IMPORTRANGE(""https://docs.google.com/spreadsheets/d/1SX6NBoVAgQJ6U1MVXOaj8PK2l7WJ3RER9xtqwdhxkhw/edit?usp=sharing"",""ประจวบคีรีขันธ์!J161"")"),0.0)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IFERROR(__xludf.DUMMYFUNCTION("IMPORTRANGE(""https://docs.google.com/spreadsheets/d/1SX6NBoVAgQJ6U1MVXOaj8PK2l7WJ3RER9xtqwdhxkhw/edit?usp=sharing"",""ประจวบคีรีขันธ์!J162"")"),0.0)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IFERROR(__xludf.DUMMYFUNCTION("IMPORTRANGE(""https://docs.google.com/spreadsheets/d/1SX6NBoVAgQJ6U1MVXOaj8PK2l7WJ3RER9xtqwdhxkhw/edit?usp=sharing"",""ประจวบคีรีขันธ์!J163"")"),0.0)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IFERROR(__xludf.DUMMYFUNCTION("IMPORTRANGE(""https://docs.google.com/spreadsheets/d/1SX6NBoVAgQJ6U1MVXOaj8PK2l7WJ3RER9xtqwdhxkhw/edit?usp=sharing"",""ประจวบคีรีขันธ์!I164"")"),0.0)</f>
        <v>0</v>
      </c>
      <c r="J244" s="222">
        <f>IFERROR(__xludf.DUMMYFUNCTION("IMPORTRANGE(""https://docs.google.com/spreadsheets/d/1SX6NBoVAgQJ6U1MVXOaj8PK2l7WJ3RER9xtqwdhxkhw/edit?usp=sharing"",""ประจวบคีรีขันธ์!J164"")"),0.0)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IFERROR(__xludf.DUMMYFUNCTION("IMPORTRANGE(""https://docs.google.com/spreadsheets/d/1SX6NBoVAgQJ6U1MVXOaj8PK2l7WJ3RER9xtqwdhxkhw/edit?usp=sharing"",""ประจวบคีรีขันธ์!J165"")"),0.0)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IFERROR(__xludf.DUMMYFUNCTION("IMPORTRANGE(""https://docs.google.com/spreadsheets/d/1SX6NBoVAgQJ6U1MVXOaj8PK2l7WJ3RER9xtqwdhxkhw/edit?usp=sharing"",""ประจวบคีรีขันธ์!J166"")"),0.0)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IFERROR(__xludf.DUMMYFUNCTION("IMPORTRANGE(""https://docs.google.com/spreadsheets/d/1SX6NBoVAgQJ6U1MVXOaj8PK2l7WJ3RER9xtqwdhxkhw/edit?usp=sharing"",""ประจวบคีรีขันธ์!I169"")"),0.0)</f>
        <v>0</v>
      </c>
      <c r="J249" s="349">
        <f>IFERROR(__xludf.DUMMYFUNCTION("IMPORTRANGE(""https://docs.google.com/spreadsheets/d/1SX6NBoVAgQJ6U1MVXOaj8PK2l7WJ3RER9xtqwdhxkhw/edit?usp=sharing"",""ประจวบคีรีขันธ์!J169"")"),0.0)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IFERROR(__xludf.DUMMYFUNCTION("IMPORTRANGE(""https://docs.google.com/spreadsheets/d/1Yj_ptqi66GCucihVvJfMjLAmec39IyEx_6qawtMGysU/edit?usp=sharing"",""สบก!CB68"")"),0.0)</f>
        <v>0</v>
      </c>
      <c r="N254" s="203">
        <f>IFERROR(__xludf.DUMMYFUNCTION("IMPORTRANGE(""https://docs.google.com/spreadsheets/d/1Yj_ptqi66GCucihVvJfMjLAmec39IyEx_6qawtMGysU/edit?usp=sharing"",""สบก!CC68"")"),0.0)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IFERROR(__xludf.DUMMYFUNCTION("IMPORTRANGE(""https://docs.google.com/spreadsheets/d/1Yj_ptqi66GCucihVvJfMjLAmec39IyEx_6qawtMGysU/edit?usp=sharing"",""สบก!BX68"")"),0.0)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IFERROR(__xludf.DUMMYFUNCTION("IMPORTRANGE(""https://docs.google.com/spreadsheets/d/1Yj_ptqi66GCucihVvJfMjLAmec39IyEx_6qawtMGysU/edit?usp=sharing"",""สบก!BY68"")"),0.0)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IFERROR(__xludf.DUMMYFUNCTION("IMPORTRANGE(""https://docs.google.com/spreadsheets/d/1Yj_ptqi66GCucihVvJfMjLAmec39IyEx_6qawtMGysU/edit?usp=sharing"",""สบก!BZ68"")"),0.0)</f>
        <v>0</v>
      </c>
      <c r="M258" s="70"/>
      <c r="N258" s="70">
        <f>IFERROR(__xludf.DUMMYFUNCTION("IMPORTRANGE(""https://docs.google.com/spreadsheets/d/1Yj_ptqi66GCucihVvJfMjLAmec39IyEx_6qawtMGysU/edit?usp=sharing"",""สบก!CD68"")"),0.0)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IFERROR(__xludf.DUMMYFUNCTION("IMPORTRANGE(""https://docs.google.com/spreadsheets/d/1SX6NBoVAgQJ6U1MVXOaj8PK2l7WJ3RER9xtqwdhxkhw/edit?usp=sharing"",""ประจวบคีรีขันธ์!J175"")"),0.0)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IFERROR(__xludf.DUMMYFUNCTION("IMPORTRANGE(""https://docs.google.com/spreadsheets/d/1SX6NBoVAgQJ6U1MVXOaj8PK2l7WJ3RER9xtqwdhxkhw/edit?usp=sharing"",""ประจวบคีรีขันธ์!J176"")"),0.0)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IFERROR(__xludf.DUMMYFUNCTION("IMPORTRANGE(""https://docs.google.com/spreadsheets/d/1SX6NBoVAgQJ6U1MVXOaj8PK2l7WJ3RER9xtqwdhxkhw/edit?usp=sharing"",""ประจวบคีรีขันธ์!J177"")"),0.0)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IFERROR(__xludf.DUMMYFUNCTION("IMPORTRANGE(""https://docs.google.com/spreadsheets/d/1SX6NBoVAgQJ6U1MVXOaj8PK2l7WJ3RER9xtqwdhxkhw/edit?usp=sharing"",""ประจวบคีรีขันธ์!J178"")"),0.0)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IFERROR(__xludf.DUMMYFUNCTION("IMPORTRANGE(""https://docs.google.com/spreadsheets/d/1SX6NBoVAgQJ6U1MVXOaj8PK2l7WJ3RER9xtqwdhxkhw/edit?usp=sharing"",""ประจวบคีรีขันธ์!I179"")"),0.0)</f>
        <v>0</v>
      </c>
      <c r="J264" s="223">
        <f>IFERROR(__xludf.DUMMYFUNCTION("IMPORTRANGE(""https://docs.google.com/spreadsheets/d/1SX6NBoVAgQJ6U1MVXOaj8PK2l7WJ3RER9xtqwdhxkhw/edit?usp=sharing"",""ประจวบคีรีขันธ์!J179"")"),0.0)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IFERROR(__xludf.DUMMYFUNCTION("IMPORTRANGE(""https://docs.google.com/spreadsheets/d/1SX6NBoVAgQJ6U1MVXOaj8PK2l7WJ3RER9xtqwdhxkhw/edit?usp=sharing"",""ประจวบคีรีขันธ์!I180"")"),0.0)</f>
        <v>0</v>
      </c>
      <c r="J265" s="223">
        <f>IFERROR(__xludf.DUMMYFUNCTION("IMPORTRANGE(""https://docs.google.com/spreadsheets/d/1SX6NBoVAgQJ6U1MVXOaj8PK2l7WJ3RER9xtqwdhxkhw/edit?usp=sharing"",""ประจวบคีรีขันธ์!J180"")"),0.0)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IFERROR(__xludf.DUMMYFUNCTION("IMPORTRANGE(""https://docs.google.com/spreadsheets/d/1SX6NBoVAgQJ6U1MVXOaj8PK2l7WJ3RER9xtqwdhxkhw/edit?usp=sharing"",""ประจวบคีรีขันธ์!I181"")"),0.0)</f>
        <v>0</v>
      </c>
      <c r="J266" s="223">
        <f>IFERROR(__xludf.DUMMYFUNCTION("IMPORTRANGE(""https://docs.google.com/spreadsheets/d/1SX6NBoVAgQJ6U1MVXOaj8PK2l7WJ3RER9xtqwdhxkhw/edit?usp=sharing"",""ประจวบคีรีขันธ์!J181"")"),0.0)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IFERROR(__xludf.DUMMYFUNCTION("IMPORTRANGE(""https://docs.google.com/spreadsheets/d/1SX6NBoVAgQJ6U1MVXOaj8PK2l7WJ3RER9xtqwdhxkhw/edit?usp=sharing"",""ประจวบคีรีขันธ์!I182"")"),0.0)</f>
        <v>0</v>
      </c>
      <c r="J267" s="223">
        <f>IFERROR(__xludf.DUMMYFUNCTION("IMPORTRANGE(""https://docs.google.com/spreadsheets/d/1SX6NBoVAgQJ6U1MVXOaj8PK2l7WJ3RER9xtqwdhxkhw/edit?usp=sharing"",""ประจวบคีรีขันธ์!J182"")"),0.0)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IFERROR(__xludf.DUMMYFUNCTION("IMPORTRANGE(""https://docs.google.com/spreadsheets/d/1SX6NBoVAgQJ6U1MVXOaj8PK2l7WJ3RER9xtqwdhxkhw/edit?usp=sharing"",""ประจวบคีรีขันธ์!J183"")"),0.0)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IFERROR(__xludf.DUMMYFUNCTION("IMPORTRANGE(""https://docs.google.com/spreadsheets/d/1SX6NBoVAgQJ6U1MVXOaj8PK2l7WJ3RER9xtqwdhxkhw/edit?usp=sharing"",""ประจวบคีรีขันธ์!J184"")"),0.0)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IFERROR(__xludf.DUMMYFUNCTION("IMPORTRANGE(""https://docs.google.com/spreadsheets/d/1SX6NBoVAgQJ6U1MVXOaj8PK2l7WJ3RER9xtqwdhxkhw/edit?usp=sharing"",""ประจวบคีรีขันธ์!I185"")"),0.0)</f>
        <v>0</v>
      </c>
      <c r="J270" s="349">
        <f>IFERROR(__xludf.DUMMYFUNCTION("IMPORTRANGE(""https://docs.google.com/spreadsheets/d/1SX6NBoVAgQJ6U1MVXOaj8PK2l7WJ3RER9xtqwdhxkhw/edit?usp=sharing"",""ประจวบคีรีขันธ์!J185"")"),0.0)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0">
        <f>IFERROR(__xludf.DUMMYFUNCTION("IMPORTRANGE(""https://docs.google.com/spreadsheets/d/1Yj_ptqi66GCucihVvJfMjLAmec39IyEx_6qawtMGysU/edit?usp=sharing"",""สบก!CK68"")"),0.0)</f>
        <v>0</v>
      </c>
      <c r="N275" s="203">
        <f>IFERROR(__xludf.DUMMYFUNCTION("IMPORTRANGE(""https://docs.google.com/spreadsheets/d/1Yj_ptqi66GCucihVvJfMjLAmec39IyEx_6qawtMGysU/edit?usp=sharing"",""สบก!CL68"")"),0.0)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IFERROR(__xludf.DUMMYFUNCTION("IMPORTRANGE(""https://docs.google.com/spreadsheets/d/1Yj_ptqi66GCucihVvJfMjLAmec39IyEx_6qawtMGysU/edit?usp=sharing"",""สบก!CG68"")"),0.0)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IFERROR(__xludf.DUMMYFUNCTION("IMPORTRANGE(""https://docs.google.com/spreadsheets/d/1Yj_ptqi66GCucihVvJfMjLAmec39IyEx_6qawtMGysU/edit?usp=sharing"",""สบก!CH68"")"),0.0)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IFERROR(__xludf.DUMMYFUNCTION("IMPORTRANGE(""https://docs.google.com/spreadsheets/d/1Yj_ptqi66GCucihVvJfMjLAmec39IyEx_6qawtMGysU/edit?usp=sharing"",""สบก!CI68"")"),0.0)</f>
        <v>0</v>
      </c>
      <c r="M279" s="70"/>
      <c r="N279" s="70">
        <f>IFERROR(__xludf.DUMMYFUNCTION("IMPORTRANGE(""https://docs.google.com/spreadsheets/d/1Yj_ptqi66GCucihVvJfMjLAmec39IyEx_6qawtMGysU/edit?usp=sharing"",""สบก!CM68"")"),0.0)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IFERROR(__xludf.DUMMYFUNCTION("IMPORTRANGE(""https://docs.google.com/spreadsheets/d/1SX6NBoVAgQJ6U1MVXOaj8PK2l7WJ3RER9xtqwdhxkhw/edit?usp=sharing"",""ประจวบคีรีขันธ์!J191"")"),0.0)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IFERROR(__xludf.DUMMYFUNCTION("IMPORTRANGE(""https://docs.google.com/spreadsheets/d/1SX6NBoVAgQJ6U1MVXOaj8PK2l7WJ3RER9xtqwdhxkhw/edit?usp=sharing"",""ประจวบคีรีขันธ์!J192"")"),0.0)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IFERROR(__xludf.DUMMYFUNCTION("IMPORTRANGE(""https://docs.google.com/spreadsheets/d/1SX6NBoVAgQJ6U1MVXOaj8PK2l7WJ3RER9xtqwdhxkhw/edit?usp=sharing"",""ประจวบคีรีขันธ์!J193"")"),0.0)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IFERROR(__xludf.DUMMYFUNCTION("IMPORTRANGE(""https://docs.google.com/spreadsheets/d/1SX6NBoVAgQJ6U1MVXOaj8PK2l7WJ3RER9xtqwdhxkhw/edit?usp=sharing"",""ประจวบคีรีขันธ์!J194"")"),0.0)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IFERROR(__xludf.DUMMYFUNCTION("IMPORTRANGE(""https://docs.google.com/spreadsheets/d/1SX6NBoVAgQJ6U1MVXOaj8PK2l7WJ3RER9xtqwdhxkhw/edit?usp=sharing"",""ประจวบคีรีขันธ์!I195"")"),0.0)</f>
        <v>0</v>
      </c>
      <c r="J285" s="223">
        <f>IFERROR(__xludf.DUMMYFUNCTION("IMPORTRANGE(""https://docs.google.com/spreadsheets/d/1SX6NBoVAgQJ6U1MVXOaj8PK2l7WJ3RER9xtqwdhxkhw/edit?usp=sharing"",""ประจวบคีรีขันธ์!J195"")"),0.0)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IFERROR(__xludf.DUMMYFUNCTION("IMPORTRANGE(""https://docs.google.com/spreadsheets/d/1SX6NBoVAgQJ6U1MVXOaj8PK2l7WJ3RER9xtqwdhxkhw/edit?usp=sharing"",""ประจวบคีรีขันธ์!J196"")"),0.0)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IFERROR(__xludf.DUMMYFUNCTION("IMPORTRANGE(""https://docs.google.com/spreadsheets/d/1SX6NBoVAgQJ6U1MVXOaj8PK2l7WJ3RER9xtqwdhxkhw/edit?usp=sharing"",""ประจวบคีรีขันธ์!J197"")"),0.0)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IFERROR(__xludf.DUMMYFUNCTION("IMPORTRANGE(""https://docs.google.com/spreadsheets/d/1SX6NBoVAgQJ6U1MVXOaj8PK2l7WJ3RER9xtqwdhxkhw/edit?usp=sharing"",""ประจวบคีรีขันธ์!I199"")"),0.0)</f>
        <v>0</v>
      </c>
      <c r="J289" s="349">
        <f>IFERROR(__xludf.DUMMYFUNCTION("IMPORTRANGE(""https://docs.google.com/spreadsheets/d/1SX6NBoVAgQJ6U1MVXOaj8PK2l7WJ3RER9xtqwdhxkhw/edit?usp=sharing"",""ประจวบคีรีขันธ์!J199"")"),0.0)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IFERROR(__xludf.DUMMYFUNCTION("IMPORTRANGE(""https://docs.google.com/spreadsheets/d/1Yj_ptqi66GCucihVvJfMjLAmec39IyEx_6qawtMGysU/edit?usp=sharing"",""สบก!CT68"")"),0.0)</f>
        <v>0</v>
      </c>
      <c r="N294" s="203">
        <f>IFERROR(__xludf.DUMMYFUNCTION("IMPORTRANGE(""https://docs.google.com/spreadsheets/d/1Yj_ptqi66GCucihVvJfMjLAmec39IyEx_6qawtMGysU/edit?usp=sharing"",""สบก!CU68"")"),0.0)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IFERROR(__xludf.DUMMYFUNCTION("IMPORTRANGE(""https://docs.google.com/spreadsheets/d/1Yj_ptqi66GCucihVvJfMjLAmec39IyEx_6qawtMGysU/edit?usp=sharing"",""สบก!CP68"")"),0.0)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IFERROR(__xludf.DUMMYFUNCTION("IMPORTRANGE(""https://docs.google.com/spreadsheets/d/1Yj_ptqi66GCucihVvJfMjLAmec39IyEx_6qawtMGysU/edit?usp=sharing"",""สบก!CQ68"")"),0.0)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IFERROR(__xludf.DUMMYFUNCTION("IMPORTRANGE(""https://docs.google.com/spreadsheets/d/1Yj_ptqi66GCucihVvJfMjLAmec39IyEx_6qawtMGysU/edit?usp=sharing"",""สบก!CR68"")"),0.0)</f>
        <v>0</v>
      </c>
      <c r="M298" s="70"/>
      <c r="N298" s="70">
        <f>IFERROR(__xludf.DUMMYFUNCTION("IMPORTRANGE(""https://docs.google.com/spreadsheets/d/1Yj_ptqi66GCucihVvJfMjLAmec39IyEx_6qawtMGysU/edit?usp=sharing"",""สบก!CV68"")"),0.0)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IFERROR(__xludf.DUMMYFUNCTION("IMPORTRANGE(""https://docs.google.com/spreadsheets/d/1SX6NBoVAgQJ6U1MVXOaj8PK2l7WJ3RER9xtqwdhxkhw/edit?usp=sharing"",""ประจวบคีรีขันธ์!J205"")"),0.0)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IFERROR(__xludf.DUMMYFUNCTION("IMPORTRANGE(""https://docs.google.com/spreadsheets/d/1SX6NBoVAgQJ6U1MVXOaj8PK2l7WJ3RER9xtqwdhxkhw/edit?usp=sharing"",""ประจวบคีรีขันธ์!J206"")"),0.0)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IFERROR(__xludf.DUMMYFUNCTION("IMPORTRANGE(""https://docs.google.com/spreadsheets/d/1SX6NBoVAgQJ6U1MVXOaj8PK2l7WJ3RER9xtqwdhxkhw/edit?usp=sharing"",""ประจวบคีรีขันธ์!J207"")"),0.0)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IFERROR(__xludf.DUMMYFUNCTION("IMPORTRANGE(""https://docs.google.com/spreadsheets/d/1SX6NBoVAgQJ6U1MVXOaj8PK2l7WJ3RER9xtqwdhxkhw/edit?usp=sharing"",""ประจวบคีรีขันธ์!J208"")"),0.0)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IFERROR(__xludf.DUMMYFUNCTION("IMPORTRANGE(""https://docs.google.com/spreadsheets/d/1SX6NBoVAgQJ6U1MVXOaj8PK2l7WJ3RER9xtqwdhxkhw/edit?usp=sharing"",""ประจวบคีรีขันธ์!I209"")"),0.0)</f>
        <v>0</v>
      </c>
      <c r="J304" s="238">
        <f>IFERROR(__xludf.DUMMYFUNCTION("IMPORTRANGE(""https://docs.google.com/spreadsheets/d/1SX6NBoVAgQJ6U1MVXOaj8PK2l7WJ3RER9xtqwdhxkhw/edit?usp=sharing"",""ประจวบคีรีขันธ์!J209"")"),0.0)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IFERROR(__xludf.DUMMYFUNCTION("IMPORTRANGE(""https://docs.google.com/spreadsheets/d/1SX6NBoVAgQJ6U1MVXOaj8PK2l7WJ3RER9xtqwdhxkhw/edit?usp=sharing"",""ประจวบคีรีขันธ์!I211"")"),0.0)</f>
        <v>0</v>
      </c>
      <c r="J306" s="238">
        <f>IFERROR(__xludf.DUMMYFUNCTION("IMPORTRANGE(""https://docs.google.com/spreadsheets/d/1SX6NBoVAgQJ6U1MVXOaj8PK2l7WJ3RER9xtqwdhxkhw/edit?usp=sharing"",""ประจวบคีรีขันธ์!J211"")"),0.0)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IFERROR(__xludf.DUMMYFUNCTION("IMPORTRANGE(""https://docs.google.com/spreadsheets/d/1SX6NBoVAgQJ6U1MVXOaj8PK2l7WJ3RER9xtqwdhxkhw/edit?usp=sharing"",""ประจวบคีรีขันธ์!J212"")"),0.0)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IFERROR(__xludf.DUMMYFUNCTION("IMPORTRANGE(""https://docs.google.com/spreadsheets/d/1SX6NBoVAgQJ6U1MVXOaj8PK2l7WJ3RER9xtqwdhxkhw/edit?usp=sharing"",""ประจวบคีรีขันธ์!J213"")"),0.0)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IFERROR(__xludf.DUMMYFUNCTION("IMPORTRANGE(""https://docs.google.com/spreadsheets/d/1SX6NBoVAgQJ6U1MVXOaj8PK2l7WJ3RER9xtqwdhxkhw/edit?usp=sharing"",""ประจวบคีรีขันธ์!I214"")"),0.0)</f>
        <v>0</v>
      </c>
      <c r="J309" s="366">
        <f>IFERROR(__xludf.DUMMYFUNCTION("IMPORTRANGE(""https://docs.google.com/spreadsheets/d/1SX6NBoVAgQJ6U1MVXOaj8PK2l7WJ3RER9xtqwdhxkhw/edit?usp=sharing"",""ประจวบคีรีขันธ์!J214"")"),0.0)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IFERROR(__xludf.DUMMYFUNCTION("IMPORTRANGE(""https://docs.google.com/spreadsheets/d/1Yj_ptqi66GCucihVvJfMjLAmec39IyEx_6qawtMGysU/edit?usp=sharing"",""สบก!DC68"")"),0.0)</f>
        <v>0</v>
      </c>
      <c r="N314" s="203">
        <f>IFERROR(__xludf.DUMMYFUNCTION("IMPORTRANGE(""https://docs.google.com/spreadsheets/d/1Yj_ptqi66GCucihVvJfMjLAmec39IyEx_6qawtMGysU/edit?usp=sharing"",""สบก!DD68"")"),0.0)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IFERROR(__xludf.DUMMYFUNCTION("IMPORTRANGE(""https://docs.google.com/spreadsheets/d/1Yj_ptqi66GCucihVvJfMjLAmec39IyEx_6qawtMGysU/edit?usp=sharing"",""สบก!CY68"")"),0.0)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IFERROR(__xludf.DUMMYFUNCTION("IMPORTRANGE(""https://docs.google.com/spreadsheets/d/1Yj_ptqi66GCucihVvJfMjLAmec39IyEx_6qawtMGysU/edit?usp=sharing"",""สบก!CZ68"")"),0.0)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IFERROR(__xludf.DUMMYFUNCTION("IMPORTRANGE(""https://docs.google.com/spreadsheets/d/1Yj_ptqi66GCucihVvJfMjLAmec39IyEx_6qawtMGysU/edit?usp=sharing"",""สบก!DA68"")"),0.0)</f>
        <v>0</v>
      </c>
      <c r="M318" s="70"/>
      <c r="N318" s="70">
        <f>IFERROR(__xludf.DUMMYFUNCTION("IMPORTRANGE(""https://docs.google.com/spreadsheets/d/1Yj_ptqi66GCucihVvJfMjLAmec39IyEx_6qawtMGysU/edit?usp=sharing"",""สบก!DE68"")"),0.0)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IFERROR(__xludf.DUMMYFUNCTION("IMPORTRANGE(""https://docs.google.com/spreadsheets/d/1SX6NBoVAgQJ6U1MVXOaj8PK2l7WJ3RER9xtqwdhxkhw/edit?usp=sharing"",""ประจวบคีรีขันธ์!J220"")"),0.0)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IFERROR(__xludf.DUMMYFUNCTION("IMPORTRANGE(""https://docs.google.com/spreadsheets/d/1SX6NBoVAgQJ6U1MVXOaj8PK2l7WJ3RER9xtqwdhxkhw/edit?usp=sharing"",""ประจวบคีรีขันธ์!J221"")"),0.0)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IFERROR(__xludf.DUMMYFUNCTION("IMPORTRANGE(""https://docs.google.com/spreadsheets/d/1SX6NBoVAgQJ6U1MVXOaj8PK2l7WJ3RER9xtqwdhxkhw/edit?usp=sharing"",""ประจวบคีรีขันธ์!J222"")"),0.0)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IFERROR(__xludf.DUMMYFUNCTION("IMPORTRANGE(""https://docs.google.com/spreadsheets/d/1SX6NBoVAgQJ6U1MVXOaj8PK2l7WJ3RER9xtqwdhxkhw/edit?usp=sharing"",""ประจวบคีรีขันธ์!J223"")"),0.0)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IFERROR(__xludf.DUMMYFUNCTION("IMPORTRANGE(""https://docs.google.com/spreadsheets/d/1SX6NBoVAgQJ6U1MVXOaj8PK2l7WJ3RER9xtqwdhxkhw/edit?usp=sharing"",""ประจวบคีรีขันธ์!I224"")"),0.0)</f>
        <v>0</v>
      </c>
      <c r="J324" s="238">
        <f>IFERROR(__xludf.DUMMYFUNCTION("IMPORTRANGE(""https://docs.google.com/spreadsheets/d/1SX6NBoVAgQJ6U1MVXOaj8PK2l7WJ3RER9xtqwdhxkhw/edit?usp=sharing"",""ประจวบคีรีขันธ์!J224"")"),0.0)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IFERROR(__xludf.DUMMYFUNCTION("IMPORTRANGE(""https://docs.google.com/spreadsheets/d/1SX6NBoVAgQJ6U1MVXOaj8PK2l7WJ3RER9xtqwdhxkhw/edit?usp=sharing"",""ประจวบคีรีขันธ์!J225"")"),0.0)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IFERROR(__xludf.DUMMYFUNCTION("IMPORTRANGE(""https://docs.google.com/spreadsheets/d/1SX6NBoVAgQJ6U1MVXOaj8PK2l7WJ3RER9xtqwdhxkhw/edit?usp=sharing"",""ประจวบคีรีขันธ์!J226"")"),0.0)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IFERROR(__xludf.DUMMYFUNCTION("IMPORTRANGE(""https://docs.google.com/spreadsheets/d/1SX6NBoVAgQJ6U1MVXOaj8PK2l7WJ3RER9xtqwdhxkhw/edit?usp=sharing"",""ประจวบคีรีขันธ์!I228"")"),135.0)</f>
        <v>135</v>
      </c>
      <c r="J328" s="372">
        <f>IFERROR(__xludf.DUMMYFUNCTION("IMPORTRANGE(""https://docs.google.com/spreadsheets/d/1SX6NBoVAgQJ6U1MVXOaj8PK2l7WJ3RER9xtqwdhxkhw/edit?usp=sharing"",""ประจวบคีรีขันธ์!J228"")"),8.0)</f>
        <v>8</v>
      </c>
      <c r="K328" s="350">
        <f>IF(I328&gt;0,J328*100/I328,0)</f>
        <v>5.925925926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931960</v>
      </c>
      <c r="M329" s="183">
        <f t="shared" si="99"/>
        <v>406150</v>
      </c>
      <c r="N329" s="183">
        <f t="shared" si="99"/>
        <v>295982</v>
      </c>
      <c r="O329" s="182">
        <f t="shared" ref="O329:O331" si="101">IF(L329&gt;0,N329*100/L329,0)</f>
        <v>31.75908837</v>
      </c>
      <c r="P329" s="182">
        <f t="shared" ref="P329:P331" si="102">IF(M329&gt;0,N329*100/M329,0)</f>
        <v>72.87504617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931960</v>
      </c>
      <c r="M331" s="188">
        <f t="shared" si="103"/>
        <v>406150</v>
      </c>
      <c r="N331" s="188">
        <f t="shared" si="103"/>
        <v>295982</v>
      </c>
      <c r="O331" s="187">
        <f t="shared" si="101"/>
        <v>31.75908837</v>
      </c>
      <c r="P331" s="187">
        <f t="shared" si="102"/>
        <v>72.87504617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784960</v>
      </c>
      <c r="M333" s="200">
        <f>IFERROR(__xludf.DUMMYFUNCTION("IMPORTRANGE(""https://docs.google.com/spreadsheets/d/1Yj_ptqi66GCucihVvJfMjLAmec39IyEx_6qawtMGysU/edit?usp=sharing"",""สบก!DL68"")"),406150.0)</f>
        <v>406150</v>
      </c>
      <c r="N333" s="203">
        <f>IFERROR(__xludf.DUMMYFUNCTION("IMPORTRANGE(""https://docs.google.com/spreadsheets/d/1Yj_ptqi66GCucihVvJfMjLAmec39IyEx_6qawtMGysU/edit?usp=sharing"",""สบก!DM68"")"),148982.0)</f>
        <v>148982</v>
      </c>
      <c r="O333" s="203">
        <f>IF(L333&gt;0,N333*100/L333,0)</f>
        <v>18.97956584</v>
      </c>
      <c r="P333" s="203">
        <f>IF(M333&gt;0,N333*100/M333,0)</f>
        <v>36.68152161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IFERROR(__xludf.DUMMYFUNCTION("IMPORTRANGE(""https://docs.google.com/spreadsheets/d/1Yj_ptqi66GCucihVvJfMjLAmec39IyEx_6qawtMGysU/edit?usp=sharing"",""สบก!DH68"")"),505100.0)</f>
        <v>505100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IFERROR(__xludf.DUMMYFUNCTION("IMPORTRANGE(""https://docs.google.com/spreadsheets/d/1Yj_ptqi66GCucihVvJfMjLAmec39IyEx_6qawtMGysU/edit?usp=sharing"",""สบก!DI68"")"),279860.0)</f>
        <v>279860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IFERROR(__xludf.DUMMYFUNCTION("IMPORTRANGE(""https://docs.google.com/spreadsheets/d/1Yj_ptqi66GCucihVvJfMjLAmec39IyEx_6qawtMGysU/edit?usp=sharing"",""สบก!DJ68"")"),147000.0)</f>
        <v>147000</v>
      </c>
      <c r="M337" s="70"/>
      <c r="N337" s="70">
        <f>IFERROR(__xludf.DUMMYFUNCTION("IMPORTRANGE(""https://docs.google.com/spreadsheets/d/1Yj_ptqi66GCucihVvJfMjLAmec39IyEx_6qawtMGysU/edit?usp=sharing"",""สบก!DN68"")"),147000.0)</f>
        <v>147000</v>
      </c>
      <c r="O337" s="70">
        <f>IF(L337&gt;0,N337*100/L337,0)</f>
        <v>100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IFERROR(__xludf.DUMMYFUNCTION("IMPORTRANGE(""https://docs.google.com/spreadsheets/d/1SX6NBoVAgQJ6U1MVXOaj8PK2l7WJ3RER9xtqwdhxkhw/edit?usp=sharing"",""ประจวบคีรีขันธ์!I234"")"),0.0)</f>
        <v>0</v>
      </c>
      <c r="J339" s="222">
        <f>IFERROR(__xludf.DUMMYFUNCTION("IMPORTRANGE(""https://docs.google.com/spreadsheets/d/1SX6NBoVAgQJ6U1MVXOaj8PK2l7WJ3RER9xtqwdhxkhw/edit?usp=sharing"",""ประจวบคีรีขันธ์!J234"")"),0.0)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IFERROR(__xludf.DUMMYFUNCTION("IMPORTRANGE(""https://docs.google.com/spreadsheets/d/1SX6NBoVAgQJ6U1MVXOaj8PK2l7WJ3RER9xtqwdhxkhw/edit?usp=sharing"",""ประจวบคีรีขันธ์!I235"")"),780.0)</f>
        <v>780</v>
      </c>
      <c r="J340" s="222">
        <f>IFERROR(__xludf.DUMMYFUNCTION("IMPORTRANGE(""https://docs.google.com/spreadsheets/d/1SX6NBoVAgQJ6U1MVXOaj8PK2l7WJ3RER9xtqwdhxkhw/edit?usp=sharing"",""ประจวบคีรีขันธ์!J235"")"),0.0)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IFERROR(__xludf.DUMMYFUNCTION("IMPORTRANGE(""https://docs.google.com/spreadsheets/d/1SX6NBoVAgQJ6U1MVXOaj8PK2l7WJ3RER9xtqwdhxkhw/edit?usp=sharing"",""ประจวบคีรีขันธ์!I236"")"),135.0)</f>
        <v>135</v>
      </c>
      <c r="J341" s="222">
        <f>IFERROR(__xludf.DUMMYFUNCTION("IMPORTRANGE(""https://docs.google.com/spreadsheets/d/1SX6NBoVAgQJ6U1MVXOaj8PK2l7WJ3RER9xtqwdhxkhw/edit?usp=sharing"",""ประจวบคีรีขันธ์!J236"")"),5.0)</f>
        <v>5</v>
      </c>
      <c r="K341" s="375">
        <f t="shared" si="104"/>
        <v>3.703703704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IFERROR(__xludf.DUMMYFUNCTION("IMPORTRANGE(""https://docs.google.com/spreadsheets/d/1SX6NBoVAgQJ6U1MVXOaj8PK2l7WJ3RER9xtqwdhxkhw/edit?usp=sharing"",""ประจวบคีรีขันธ์!I237"")"),0.0)</f>
        <v>0</v>
      </c>
      <c r="J342" s="222">
        <f>IFERROR(__xludf.DUMMYFUNCTION("IMPORTRANGE(""https://docs.google.com/spreadsheets/d/1SX6NBoVAgQJ6U1MVXOaj8PK2l7WJ3RER9xtqwdhxkhw/edit?usp=sharing"",""ประจวบคีรีขันธ์!J237"")"),58.17)</f>
        <v>58.17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IFERROR(__xludf.DUMMYFUNCTION("IMPORTRANGE(""https://docs.google.com/spreadsheets/d/1SX6NBoVAgQJ6U1MVXOaj8PK2l7WJ3RER9xtqwdhxkhw/edit?usp=sharing"",""ประจวบคีรีขันธ์!I238"")"),135.0)</f>
        <v>135</v>
      </c>
      <c r="J343" s="222">
        <f>IFERROR(__xludf.DUMMYFUNCTION("IMPORTRANGE(""https://docs.google.com/spreadsheets/d/1SX6NBoVAgQJ6U1MVXOaj8PK2l7WJ3RER9xtqwdhxkhw/edit?usp=sharing"",""ประจวบคีรีขันธ์!J238"")"),0.0)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IFERROR(__xludf.DUMMYFUNCTION("IMPORTRANGE(""https://docs.google.com/spreadsheets/d/1SX6NBoVAgQJ6U1MVXOaj8PK2l7WJ3RER9xtqwdhxkhw/edit?usp=sharing"",""ประจวบคีรีขันธ์!I239"")"),0.0)</f>
        <v>0</v>
      </c>
      <c r="J344" s="222">
        <f>IFERROR(__xludf.DUMMYFUNCTION("IMPORTRANGE(""https://docs.google.com/spreadsheets/d/1SX6NBoVAgQJ6U1MVXOaj8PK2l7WJ3RER9xtqwdhxkhw/edit?usp=sharing"",""ประจวบคีรีขันธ์!J239"")"),0.0)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IFERROR(__xludf.DUMMYFUNCTION("IMPORTRANGE(""https://docs.google.com/spreadsheets/d/1SX6NBoVAgQJ6U1MVXOaj8PK2l7WJ3RER9xtqwdhxkhw/edit?usp=sharing"",""ประจวบคีรีขันธ์!I240"")"),135.0)</f>
        <v>135</v>
      </c>
      <c r="J345" s="222">
        <f>IFERROR(__xludf.DUMMYFUNCTION("IMPORTRANGE(""https://docs.google.com/spreadsheets/d/1SX6NBoVAgQJ6U1MVXOaj8PK2l7WJ3RER9xtqwdhxkhw/edit?usp=sharing"",""ประจวบคีรีขันธ์!J240"")"),8.0)</f>
        <v>8</v>
      </c>
      <c r="K345" s="375">
        <f t="shared" si="104"/>
        <v>5.925925926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IFERROR(__xludf.DUMMYFUNCTION("IMPORTRANGE(""https://docs.google.com/spreadsheets/d/1SX6NBoVAgQJ6U1MVXOaj8PK2l7WJ3RER9xtqwdhxkhw/edit?usp=sharing"",""ประจวบคีรีขันธ์!I241"")"),0.0)</f>
        <v>0</v>
      </c>
      <c r="J346" s="222">
        <f>IFERROR(__xludf.DUMMYFUNCTION("IMPORTRANGE(""https://docs.google.com/spreadsheets/d/1SX6NBoVAgQJ6U1MVXOaj8PK2l7WJ3RER9xtqwdhxkhw/edit?usp=sharing"",""ประจวบคีรีขันธ์!J241"")"),83.4)</f>
        <v>83.4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IFERROR(__xludf.DUMMYFUNCTION("IMPORTRANGE(""https://docs.google.com/spreadsheets/d/1SX6NBoVAgQJ6U1MVXOaj8PK2l7WJ3RER9xtqwdhxkhw/edit?usp=sharing"",""ประจวบคีรีขันธ์!L242"")"),944579.0)</f>
        <v>944579</v>
      </c>
      <c r="M347" s="391"/>
      <c r="N347" s="391">
        <f>IFERROR(__xludf.DUMMYFUNCTION("IMPORTRANGE(""https://docs.google.com/spreadsheets/d/1SX6NBoVAgQJ6U1MVXOaj8PK2l7WJ3RER9xtqwdhxkhw/edit?usp=sharing"",""ประจวบคีรีขันธ์!M242"")"),130930.68)</f>
        <v>130930.68</v>
      </c>
      <c r="O347" s="391">
        <f>+IF(L347&gt;0,N347*100/L347,0)</f>
        <v>13.86127365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IFERROR(__xludf.DUMMYFUNCTION("IMPORTRANGE(""https://docs.google.com/spreadsheets/d/1SX6NBoVAgQJ6U1MVXOaj8PK2l7WJ3RER9xtqwdhxkhw/edit?usp=sharing"",""ประจวบคีรีขันธ์!I244"")"),0.0)</f>
        <v>0</v>
      </c>
      <c r="J349" s="404">
        <f>IFERROR(__xludf.DUMMYFUNCTION("IMPORTRANGE(""https://docs.google.com/spreadsheets/d/1SX6NBoVAgQJ6U1MVXOaj8PK2l7WJ3RER9xtqwdhxkhw/edit?usp=sharing"",""ประจวบคีรีขันธ์!J244"")"),0.0)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IFERROR(__xludf.DUMMYFUNCTION("IMPORTRANGE(""https://docs.google.com/spreadsheets/d/1SX6NBoVAgQJ6U1MVXOaj8PK2l7WJ3RER9xtqwdhxkhw/edit?usp=sharing"",""ประจวบคีรีขันธ์!L244"")"),0.0)</f>
        <v>0</v>
      </c>
      <c r="M349" s="406"/>
      <c r="N349" s="406">
        <f>IFERROR(__xludf.DUMMYFUNCTION("IMPORTRANGE(""https://docs.google.com/spreadsheets/d/1SX6NBoVAgQJ6U1MVXOaj8PK2l7WJ3RER9xtqwdhxkhw/edit?usp=sharing"",""ประจวบคีรีขันธ์!M244"")"),0.0)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IFERROR(__xludf.DUMMYFUNCTION("IMPORTRANGE(""https://docs.google.com/spreadsheets/d/1SX6NBoVAgQJ6U1MVXOaj8PK2l7WJ3RER9xtqwdhxkhw/edit?usp=sharing"",""ประจวบคีรีขันธ์!I245"")"),0.0)</f>
        <v>0</v>
      </c>
      <c r="J350" s="404">
        <f>IFERROR(__xludf.DUMMYFUNCTION("IMPORTRANGE(""https://docs.google.com/spreadsheets/d/1SX6NBoVAgQJ6U1MVXOaj8PK2l7WJ3RER9xtqwdhxkhw/edit?usp=sharing"",""ประจวบคีรีขันธ์!J245"")"),0.0)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IFERROR(__xludf.DUMMYFUNCTION("IMPORTRANGE(""https://docs.google.com/spreadsheets/d/1SX6NBoVAgQJ6U1MVXOaj8PK2l7WJ3RER9xtqwdhxkhw/edit?usp=sharing"",""ประจวบคีรีขันธ์!L246"")"),0.0)</f>
        <v>0</v>
      </c>
      <c r="M351" s="197"/>
      <c r="N351" s="197">
        <f>IFERROR(__xludf.DUMMYFUNCTION("IMPORTRANGE(""https://docs.google.com/spreadsheets/d/1SX6NBoVAgQJ6U1MVXOaj8PK2l7WJ3RER9xtqwdhxkhw/edit?usp=sharing"",""ประจวบคีรีขันธ์!M246"")"),0.0)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IFERROR(__xludf.DUMMYFUNCTION("IMPORTRANGE(""https://docs.google.com/spreadsheets/d/1SX6NBoVAgQJ6U1MVXOaj8PK2l7WJ3RER9xtqwdhxkhw/edit?usp=sharing"",""ประจวบคีรีขันธ์!L247"")"),0.0)</f>
        <v>0</v>
      </c>
      <c r="M352" s="198"/>
      <c r="N352" s="197">
        <f>IFERROR(__xludf.DUMMYFUNCTION("IMPORTRANGE(""https://docs.google.com/spreadsheets/d/1SX6NBoVAgQJ6U1MVXOaj8PK2l7WJ3RER9xtqwdhxkhw/edit?usp=sharing"",""ประจวบคีรีขันธ์!M247"")"),0.0)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IFERROR(__xludf.DUMMYFUNCTION("IMPORTRANGE(""https://docs.google.com/spreadsheets/d/1SX6NBoVAgQJ6U1MVXOaj8PK2l7WJ3RER9xtqwdhxkhw/edit?usp=sharing"",""ประจวบคีรีขันธ์!L248"")"),0.0)</f>
        <v>0</v>
      </c>
      <c r="M353" s="203"/>
      <c r="N353" s="203">
        <f>IFERROR(__xludf.DUMMYFUNCTION("IMPORTRANGE(""https://docs.google.com/spreadsheets/d/1SX6NBoVAgQJ6U1MVXOaj8PK2l7WJ3RER9xtqwdhxkhw/edit?usp=sharing"",""ประจวบคีรีขันธ์!M248"")"),0.0)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IFERROR(__xludf.DUMMYFUNCTION("IMPORTRANGE(""https://docs.google.com/spreadsheets/d/1SX6NBoVAgQJ6U1MVXOaj8PK2l7WJ3RER9xtqwdhxkhw/edit?usp=sharing"",""ประจวบคีรีขันธ์!L249"")"),0.0)</f>
        <v>0</v>
      </c>
      <c r="M354" s="203"/>
      <c r="N354" s="200">
        <f>IFERROR(__xludf.DUMMYFUNCTION("IMPORTRANGE(""https://docs.google.com/spreadsheets/d/1SX6NBoVAgQJ6U1MVXOaj8PK2l7WJ3RER9xtqwdhxkhw/edit?usp=sharing"",""ประจวบคีรีขันธ์!M249"")"),0.0)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IFERROR(__xludf.DUMMYFUNCTION("IMPORTRANGE(""https://docs.google.com/spreadsheets/d/1SX6NBoVAgQJ6U1MVXOaj8PK2l7WJ3RER9xtqwdhxkhw/edit?usp=sharing"",""ประจวบคีรีขันธ์!M250"")"),0.0)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IFERROR(__xludf.DUMMYFUNCTION("IMPORTRANGE(""https://docs.google.com/spreadsheets/d/1SX6NBoVAgQJ6U1MVXOaj8PK2l7WJ3RER9xtqwdhxkhw/edit?usp=sharing"",""ประจวบคีรีขันธ์!M251"")"),0.0)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IFERROR(__xludf.DUMMYFUNCTION("IMPORTRANGE(""https://docs.google.com/spreadsheets/d/1SX6NBoVAgQJ6U1MVXOaj8PK2l7WJ3RER9xtqwdhxkhw/edit?usp=sharing"",""ประจวบคีรีขันธ์!M252"")"),0.0)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IFERROR(__xludf.DUMMYFUNCTION("IMPORTRANGE(""https://docs.google.com/spreadsheets/d/1SX6NBoVAgQJ6U1MVXOaj8PK2l7WJ3RER9xtqwdhxkhw/edit?usp=sharing"",""ประจวบคีรีขันธ์!M253"")"),0.0)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IFERROR(__xludf.DUMMYFUNCTION("IMPORTRANGE(""https://docs.google.com/spreadsheets/d/1SX6NBoVAgQJ6U1MVXOaj8PK2l7WJ3RER9xtqwdhxkhw/edit?usp=sharing"",""ประจวบคีรีขันธ์!J255"")"),0.0)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IFERROR(__xludf.DUMMYFUNCTION("IMPORTRANGE(""https://docs.google.com/spreadsheets/d/1SX6NBoVAgQJ6U1MVXOaj8PK2l7WJ3RER9xtqwdhxkhw/edit?usp=sharing"",""ประจวบคีรีขันธ์!J256"")"),0.0)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IFERROR(__xludf.DUMMYFUNCTION("IMPORTRANGE(""https://docs.google.com/spreadsheets/d/1SX6NBoVAgQJ6U1MVXOaj8PK2l7WJ3RER9xtqwdhxkhw/edit?usp=sharing"",""ประจวบคีรีขันธ์!J257"")"),0.0)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IFERROR(__xludf.DUMMYFUNCTION("IMPORTRANGE(""https://docs.google.com/spreadsheets/d/1SX6NBoVAgQJ6U1MVXOaj8PK2l7WJ3RER9xtqwdhxkhw/edit?usp=sharing"",""ประจวบคีรีขันธ์!J258"")"),0.0)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IFERROR(__xludf.DUMMYFUNCTION("IMPORTRANGE(""https://docs.google.com/spreadsheets/d/1SX6NBoVAgQJ6U1MVXOaj8PK2l7WJ3RER9xtqwdhxkhw/edit?usp=sharing"",""ประจวบคีรีขันธ์!J166"")"),0.0)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IFERROR(__xludf.DUMMYFUNCTION("IMPORTRANGE(""https://docs.google.com/spreadsheets/d/1SX6NBoVAgQJ6U1MVXOaj8PK2l7WJ3RER9xtqwdhxkhw/edit?usp=sharing"",""ประจวบคีรีขันธ์!J166"")"),0.0)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IFERROR(__xludf.DUMMYFUNCTION("IMPORTRANGE(""https://docs.google.com/spreadsheets/d/1SX6NBoVAgQJ6U1MVXOaj8PK2l7WJ3RER9xtqwdhxkhw/edit?usp=sharing"",""ประจวบคีรีขันธ์!J166"")"),0.0)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IFERROR(__xludf.DUMMYFUNCTION("IMPORTRANGE(""https://docs.google.com/spreadsheets/d/1SX6NBoVAgQJ6U1MVXOaj8PK2l7WJ3RER9xtqwdhxkhw/edit?usp=sharing"",""ประจวบคีรีขันธ์!J166"")"),0.0)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IFERROR(__xludf.DUMMYFUNCTION("IMPORTRANGE(""https://docs.google.com/spreadsheets/d/1SX6NBoVAgQJ6U1MVXOaj8PK2l7WJ3RER9xtqwdhxkhw/edit?usp=sharing"",""ประจวบคีรีขันธ์!I263"")"),0.0)</f>
        <v>0</v>
      </c>
      <c r="J368" s="222">
        <f>IFERROR(__xludf.DUMMYFUNCTION("IMPORTRANGE(""https://docs.google.com/spreadsheets/d/1SX6NBoVAgQJ6U1MVXOaj8PK2l7WJ3RER9xtqwdhxkhw/edit?usp=sharing"",""ประจวบคีรีขันธ์!J263"")"),0.0)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IFERROR(__xludf.DUMMYFUNCTION("IMPORTRANGE(""https://docs.google.com/spreadsheets/d/1SX6NBoVAgQJ6U1MVXOaj8PK2l7WJ3RER9xtqwdhxkhw/edit?usp=sharing"",""ประจวบคีรีขันธ์!I164"")"),0.0)</f>
        <v>0</v>
      </c>
      <c r="J369" s="238">
        <f>IFERROR(__xludf.DUMMYFUNCTION("IMPORTRANGE(""https://docs.google.com/spreadsheets/d/1SX6NBoVAgQJ6U1MVXOaj8PK2l7WJ3RER9xtqwdhxkhw/edit?usp=sharing"",""ประจวบคีรีขันธ์!J164"")"),0.0)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IFERROR(__xludf.DUMMYFUNCTION("IMPORTRANGE(""https://docs.google.com/spreadsheets/d/1SX6NBoVAgQJ6U1MVXOaj8PK2l7WJ3RER9xtqwdhxkhw/edit?usp=sharing"",""ประจวบคีรีขันธ์!I265"")"),0.0)</f>
        <v>0</v>
      </c>
      <c r="J370" s="238">
        <f>IFERROR(__xludf.DUMMYFUNCTION("IMPORTRANGE(""https://docs.google.com/spreadsheets/d/1SX6NBoVAgQJ6U1MVXOaj8PK2l7WJ3RER9xtqwdhxkhw/edit?usp=sharing"",""ประจวบคีรีขันธ์!J265"")"),0.0)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IFERROR(__xludf.DUMMYFUNCTION("IMPORTRANGE(""https://docs.google.com/spreadsheets/d/1SX6NBoVAgQJ6U1MVXOaj8PK2l7WJ3RER9xtqwdhxkhw/edit?usp=sharing"",""ประจวบคีรีขันธ์!I164"")"),0.0)</f>
        <v>0</v>
      </c>
      <c r="J371" s="223">
        <f>IFERROR(__xludf.DUMMYFUNCTION("IMPORTRANGE(""https://docs.google.com/spreadsheets/d/1SX6NBoVAgQJ6U1MVXOaj8PK2l7WJ3RER9xtqwdhxkhw/edit?usp=sharing"",""ประจวบคีรีขันธ์!J164"")"),0.0)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IFERROR(__xludf.DUMMYFUNCTION("IMPORTRANGE(""https://docs.google.com/spreadsheets/d/1SX6NBoVAgQJ6U1MVXOaj8PK2l7WJ3RER9xtqwdhxkhw/edit?usp=sharing"",""ประจวบคีรีขันธ์!I267"")"),0.0)</f>
        <v>0</v>
      </c>
      <c r="J372" s="223">
        <f>IFERROR(__xludf.DUMMYFUNCTION("IMPORTRANGE(""https://docs.google.com/spreadsheets/d/1SX6NBoVAgQJ6U1MVXOaj8PK2l7WJ3RER9xtqwdhxkhw/edit?usp=sharing"",""ประจวบคีรีขันธ์!J267"")"),0.0)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IFERROR(__xludf.DUMMYFUNCTION("IMPORTRANGE(""https://docs.google.com/spreadsheets/d/1SX6NBoVAgQJ6U1MVXOaj8PK2l7WJ3RER9xtqwdhxkhw/edit?usp=sharing"",""ประจวบคีรีขันธ์!I164"")"),0.0)</f>
        <v>0</v>
      </c>
      <c r="J373" s="238">
        <f>IFERROR(__xludf.DUMMYFUNCTION("IMPORTRANGE(""https://docs.google.com/spreadsheets/d/1SX6NBoVAgQJ6U1MVXOaj8PK2l7WJ3RER9xtqwdhxkhw/edit?usp=sharing"",""ประจวบคีรีขันธ์!J164"")"),0.0)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IFERROR(__xludf.DUMMYFUNCTION("IMPORTRANGE(""https://docs.google.com/spreadsheets/d/1SX6NBoVAgQJ6U1MVXOaj8PK2l7WJ3RER9xtqwdhxkhw/edit?usp=sharing"",""ประจวบคีรีขันธ์!I164"")"),0.0)</f>
        <v>0</v>
      </c>
      <c r="J374" s="222">
        <f>IFERROR(__xludf.DUMMYFUNCTION("IMPORTRANGE(""https://docs.google.com/spreadsheets/d/1SX6NBoVAgQJ6U1MVXOaj8PK2l7WJ3RER9xtqwdhxkhw/edit?usp=sharing"",""ประจวบคีรีขันธ์!J164"")"),0.0)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IFERROR(__xludf.DUMMYFUNCTION("IMPORTRANGE(""https://docs.google.com/spreadsheets/d/1SX6NBoVAgQJ6U1MVXOaj8PK2l7WJ3RER9xtqwdhxkhw/edit?usp=sharing"",""ประจวบคีรีขันธ์!I270"")"),0.0)</f>
        <v>0</v>
      </c>
      <c r="J375" s="222">
        <f>IFERROR(__xludf.DUMMYFUNCTION("IMPORTRANGE(""https://docs.google.com/spreadsheets/d/1SX6NBoVAgQJ6U1MVXOaj8PK2l7WJ3RER9xtqwdhxkhw/edit?usp=sharing"",""ประจวบคีรีขันธ์!J270"")"),0.0)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IFERROR(__xludf.DUMMYFUNCTION("IMPORTRANGE(""https://docs.google.com/spreadsheets/d/1SX6NBoVAgQJ6U1MVXOaj8PK2l7WJ3RER9xtqwdhxkhw/edit?usp=sharing"",""ประจวบคีรีขันธ์!I271"")"),0.0)</f>
        <v>0</v>
      </c>
      <c r="J376" s="223">
        <f>IFERROR(__xludf.DUMMYFUNCTION("IMPORTRANGE(""https://docs.google.com/spreadsheets/d/1SX6NBoVAgQJ6U1MVXOaj8PK2l7WJ3RER9xtqwdhxkhw/edit?usp=sharing"",""ประจวบคีรีขันธ์!J271"")"),0.0)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IFERROR(__xludf.DUMMYFUNCTION("IMPORTRANGE(""https://docs.google.com/spreadsheets/d/1SX6NBoVAgQJ6U1MVXOaj8PK2l7WJ3RER9xtqwdhxkhw/edit?usp=sharing"",""ประจวบคีรีขันธ์!I272"")"),0.0)</f>
        <v>0</v>
      </c>
      <c r="J377" s="238">
        <f>IFERROR(__xludf.DUMMYFUNCTION("IMPORTRANGE(""https://docs.google.com/spreadsheets/d/1SX6NBoVAgQJ6U1MVXOaj8PK2l7WJ3RER9xtqwdhxkhw/edit?usp=sharing"",""ประจวบคีรีขันธ์!J272"")"),0.0)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IFERROR(__xludf.DUMMYFUNCTION("IMPORTRANGE(""https://docs.google.com/spreadsheets/d/1SX6NBoVAgQJ6U1MVXOaj8PK2l7WJ3RER9xtqwdhxkhw/edit?usp=sharing"",""ประจวบคีรีขันธ์!J273"")"),0.0)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IFERROR(__xludf.DUMMYFUNCTION("IMPORTRANGE(""https://docs.google.com/spreadsheets/d/1SX6NBoVAgQJ6U1MVXOaj8PK2l7WJ3RER9xtqwdhxkhw/edit?usp=sharing"",""ประจวบคีรีขันธ์!J274"")"),0.0)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IFERROR(__xludf.DUMMYFUNCTION("IMPORTRANGE(""https://docs.google.com/spreadsheets/d/1SX6NBoVAgQJ6U1MVXOaj8PK2l7WJ3RER9xtqwdhxkhw/edit?usp=sharing"",""ประจวบคีรีขันธ์!I275"")"),500.0)</f>
        <v>500</v>
      </c>
      <c r="J380" s="404">
        <f>IFERROR(__xludf.DUMMYFUNCTION("IMPORTRANGE(""https://docs.google.com/spreadsheets/d/1SX6NBoVAgQJ6U1MVXOaj8PK2l7WJ3RER9xtqwdhxkhw/edit?usp=sharing"",""ประจวบคีรีขันธ์!J275"")"),0.0)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IFERROR(__xludf.DUMMYFUNCTION("IMPORTRANGE(""https://docs.google.com/spreadsheets/d/1SX6NBoVAgQJ6U1MVXOaj8PK2l7WJ3RER9xtqwdhxkhw/edit?usp=sharing"",""ประจวบคีรีขันธ์!L275"")"),460140.0)</f>
        <v>460140</v>
      </c>
      <c r="M380" s="406"/>
      <c r="N380" s="406">
        <f>IFERROR(__xludf.DUMMYFUNCTION("IMPORTRANGE(""https://docs.google.com/spreadsheets/d/1SX6NBoVAgQJ6U1MVXOaj8PK2l7WJ3RER9xtqwdhxkhw/edit?usp=sharing"",""ประจวบคีรีขันธ์!M275"")"),73790.0)</f>
        <v>73790</v>
      </c>
      <c r="O380" s="406">
        <f>+IF(L380&gt;0,N380*100/L380,0)</f>
        <v>16.0364237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IFERROR(__xludf.DUMMYFUNCTION("IMPORTRANGE(""https://docs.google.com/spreadsheets/d/1SX6NBoVAgQJ6U1MVXOaj8PK2l7WJ3RER9xtqwdhxkhw/edit?usp=sharing"",""ประจวบคีรีขันธ์!I276"")"),50.0)</f>
        <v>50</v>
      </c>
      <c r="J381" s="404">
        <f>IFERROR(__xludf.DUMMYFUNCTION("IMPORTRANGE(""https://docs.google.com/spreadsheets/d/1SX6NBoVAgQJ6U1MVXOaj8PK2l7WJ3RER9xtqwdhxkhw/edit?usp=sharing"",""ประจวบคีรีขันธ์!J276"")"),50.0)</f>
        <v>50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IFERROR(__xludf.DUMMYFUNCTION("IMPORTRANGE(""https://docs.google.com/spreadsheets/d/1SX6NBoVAgQJ6U1MVXOaj8PK2l7WJ3RER9xtqwdhxkhw/edit?usp=sharing"",""ประจวบคีรีขันธ์!L277"")"),0.0)</f>
        <v>0</v>
      </c>
      <c r="M382" s="197"/>
      <c r="N382" s="197">
        <f>IFERROR(__xludf.DUMMYFUNCTION("IMPORTRANGE(""https://docs.google.com/spreadsheets/d/1SX6NBoVAgQJ6U1MVXOaj8PK2l7WJ3RER9xtqwdhxkhw/edit?usp=sharing"",""ประจวบคีรีขันธ์!M277"")"),0.0)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IFERROR(__xludf.DUMMYFUNCTION("IMPORTRANGE(""https://docs.google.com/spreadsheets/d/1SX6NBoVAgQJ6U1MVXOaj8PK2l7WJ3RER9xtqwdhxkhw/edit?usp=sharing"",""ประจวบคีรีขันธ์!L278"")"),460140.0)</f>
        <v>460140</v>
      </c>
      <c r="M383" s="198"/>
      <c r="N383" s="198">
        <f>IFERROR(__xludf.DUMMYFUNCTION("IMPORTRANGE(""https://docs.google.com/spreadsheets/d/1SX6NBoVAgQJ6U1MVXOaj8PK2l7WJ3RER9xtqwdhxkhw/edit?usp=sharing"",""ประจวบคีรีขันธ์!M278"")"),73790.0)</f>
        <v>73790</v>
      </c>
      <c r="O383" s="198">
        <f t="shared" si="110"/>
        <v>16.0364237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IFERROR(__xludf.DUMMYFUNCTION("IMPORTRANGE(""https://docs.google.com/spreadsheets/d/1SX6NBoVAgQJ6U1MVXOaj8PK2l7WJ3RER9xtqwdhxkhw/edit?usp=sharing"",""ประจวบคีรีขันธ์!L279"")"),0.0)</f>
        <v>0</v>
      </c>
      <c r="M384" s="203"/>
      <c r="N384" s="203">
        <f>IFERROR(__xludf.DUMMYFUNCTION("IMPORTRANGE(""https://docs.google.com/spreadsheets/d/1SX6NBoVAgQJ6U1MVXOaj8PK2l7WJ3RER9xtqwdhxkhw/edit?usp=sharing"",""ประจวบคีรีขันธ์!M279"")"),0.0)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IFERROR(__xludf.DUMMYFUNCTION("IMPORTRANGE(""https://docs.google.com/spreadsheets/d/1SX6NBoVAgQJ6U1MVXOaj8PK2l7WJ3RER9xtqwdhxkhw/edit?usp=sharing"",""ประจวบคีรีขันธ์!L280"")"),460140.0)</f>
        <v>460140</v>
      </c>
      <c r="M385" s="203"/>
      <c r="N385" s="200">
        <f>IFERROR(__xludf.DUMMYFUNCTION("IMPORTRANGE(""https://docs.google.com/spreadsheets/d/1SX6NBoVAgQJ6U1MVXOaj8PK2l7WJ3RER9xtqwdhxkhw/edit?usp=sharing"",""ประจวบคีรีขันธ์!M280"")"),73790.0)</f>
        <v>73790</v>
      </c>
      <c r="O385" s="203">
        <f t="shared" si="110"/>
        <v>16.0364237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IFERROR(__xludf.DUMMYFUNCTION("IMPORTRANGE(""https://docs.google.com/spreadsheets/d/1SX6NBoVAgQJ6U1MVXOaj8PK2l7WJ3RER9xtqwdhxkhw/edit?usp=sharing"",""ประจวบคีรีขันธ์!M281"")"),73790.0)</f>
        <v>73790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IFERROR(__xludf.DUMMYFUNCTION("IMPORTRANGE(""https://docs.google.com/spreadsheets/d/1SX6NBoVAgQJ6U1MVXOaj8PK2l7WJ3RER9xtqwdhxkhw/edit?usp=sharing"",""ประจวบคีรีขันธ์!M282"")"),0.0)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IFERROR(__xludf.DUMMYFUNCTION("IMPORTRANGE(""https://docs.google.com/spreadsheets/d/1SX6NBoVAgQJ6U1MVXOaj8PK2l7WJ3RER9xtqwdhxkhw/edit?usp=sharing"",""ประจวบคีรีขันธ์!M283"")"),0.0)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IFERROR(__xludf.DUMMYFUNCTION("IMPORTRANGE(""https://docs.google.com/spreadsheets/d/1SX6NBoVAgQJ6U1MVXOaj8PK2l7WJ3RER9xtqwdhxkhw/edit?usp=sharing"",""ประจวบคีรีขันธ์!M284"")"),0.0)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IFERROR(__xludf.DUMMYFUNCTION("IMPORTRANGE(""https://docs.google.com/spreadsheets/d/1SX6NBoVAgQJ6U1MVXOaj8PK2l7WJ3RER9xtqwdhxkhw/edit?usp=sharing"",""ประจวบคีรีขันธ์!J286"")"),0.0)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IFERROR(__xludf.DUMMYFUNCTION("IMPORTRANGE(""https://docs.google.com/spreadsheets/d/1SX6NBoVAgQJ6U1MVXOaj8PK2l7WJ3RER9xtqwdhxkhw/edit?usp=sharing"",""ประจวบคีรีขันธ์!J287"")"),1.0)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IFERROR(__xludf.DUMMYFUNCTION("IMPORTRANGE(""https://docs.google.com/spreadsheets/d/1SX6NBoVAgQJ6U1MVXOaj8PK2l7WJ3RER9xtqwdhxkhw/edit?usp=sharing"",""ประจวบคีรีขันธ์!J288"")"),1.0)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IFERROR(__xludf.DUMMYFUNCTION("IMPORTRANGE(""https://docs.google.com/spreadsheets/d/1SX6NBoVAgQJ6U1MVXOaj8PK2l7WJ3RER9xtqwdhxkhw/edit?usp=sharing"",""ประจวบคีรีขันธ์!J289"")"),1.0)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IFERROR(__xludf.DUMMYFUNCTION("IMPORTRANGE(""https://docs.google.com/spreadsheets/d/1SX6NBoVAgQJ6U1MVXOaj8PK2l7WJ3RER9xtqwdhxkhw/edit?usp=sharing"",""ประจวบคีรีขันธ์!I291"")"),50.0)</f>
        <v>50</v>
      </c>
      <c r="J396" s="232">
        <f>IFERROR(__xludf.DUMMYFUNCTION("IMPORTRANGE(""https://docs.google.com/spreadsheets/d/1SX6NBoVAgQJ6U1MVXOaj8PK2l7WJ3RER9xtqwdhxkhw/edit?usp=sharing"",""ประจวบคีรีขันธ์!J291"")"),50.0)</f>
        <v>50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IFERROR(__xludf.DUMMYFUNCTION("IMPORTRANGE(""https://docs.google.com/spreadsheets/d/1SX6NBoVAgQJ6U1MVXOaj8PK2l7WJ3RER9xtqwdhxkhw/edit?usp=sharing"",""ประจวบคีรีขันธ์!I292"")"),500.0)</f>
        <v>500</v>
      </c>
      <c r="J397" s="232">
        <f>IFERROR(__xludf.DUMMYFUNCTION("IMPORTRANGE(""https://docs.google.com/spreadsheets/d/1SX6NBoVAgQJ6U1MVXOaj8PK2l7WJ3RER9xtqwdhxkhw/edit?usp=sharing"",""ประจวบคีรีขันธ์!J292"")"),0.0)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IFERROR(__xludf.DUMMYFUNCTION("IMPORTRANGE(""https://docs.google.com/spreadsheets/d/1SX6NBoVAgQJ6U1MVXOaj8PK2l7WJ3RER9xtqwdhxkhw/edit?usp=sharing"",""ประจวบคีรีขันธ์!I293"")"),50.0)</f>
        <v>50</v>
      </c>
      <c r="J398" s="232">
        <f>IFERROR(__xludf.DUMMYFUNCTION("IMPORTRANGE(""https://docs.google.com/spreadsheets/d/1SX6NBoVAgQJ6U1MVXOaj8PK2l7WJ3RER9xtqwdhxkhw/edit?usp=sharing"",""ประจวบคีรีขันธ์!J293"")"),0.0)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IFERROR(__xludf.DUMMYFUNCTION("IMPORTRANGE(""https://docs.google.com/spreadsheets/d/1SX6NBoVAgQJ6U1MVXOaj8PK2l7WJ3RER9xtqwdhxkhw/edit?usp=sharing"",""ประจวบคีรีขันธ์!J294"")"),0.0)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IFERROR(__xludf.DUMMYFUNCTION("IMPORTRANGE(""https://docs.google.com/spreadsheets/d/1SX6NBoVAgQJ6U1MVXOaj8PK2l7WJ3RER9xtqwdhxkhw/edit?usp=sharing"",""ประจวบคีรีขันธ์!J295"")"),0.0)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IFERROR(__xludf.DUMMYFUNCTION("IMPORTRANGE(""https://docs.google.com/spreadsheets/d/1SX6NBoVAgQJ6U1MVXOaj8PK2l7WJ3RER9xtqwdhxkhw/edit?usp=sharing"",""ประจวบคีรีขันธ์!I296"")"),90.0)</f>
        <v>90</v>
      </c>
      <c r="J401" s="404">
        <f>IFERROR(__xludf.DUMMYFUNCTION("IMPORTRANGE(""https://docs.google.com/spreadsheets/d/1SX6NBoVAgQJ6U1MVXOaj8PK2l7WJ3RER9xtqwdhxkhw/edit?usp=sharing"",""ประจวบคีรีขันธ์!J296"")"),0.0)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IFERROR(__xludf.DUMMYFUNCTION("IMPORTRANGE(""https://docs.google.com/spreadsheets/d/1SX6NBoVAgQJ6U1MVXOaj8PK2l7WJ3RER9xtqwdhxkhw/edit?usp=sharing"",""ประจวบคีรีขันธ์!L296"")"),95560.0)</f>
        <v>95560</v>
      </c>
      <c r="M401" s="406"/>
      <c r="N401" s="406">
        <f>IFERROR(__xludf.DUMMYFUNCTION("IMPORTRANGE(""https://docs.google.com/spreadsheets/d/1SX6NBoVAgQJ6U1MVXOaj8PK2l7WJ3RER9xtqwdhxkhw/edit?usp=sharing"",""ประจวบคีรีขันธ์!M296"")"),0.0)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IFERROR(__xludf.DUMMYFUNCTION("IMPORTRANGE(""https://docs.google.com/spreadsheets/d/1SX6NBoVAgQJ6U1MVXOaj8PK2l7WJ3RER9xtqwdhxkhw/edit?usp=sharing"",""ประจวบคีรีขันธ์!I297"")"),30.0)</f>
        <v>30</v>
      </c>
      <c r="J402" s="404">
        <f>IFERROR(__xludf.DUMMYFUNCTION("IMPORTRANGE(""https://docs.google.com/spreadsheets/d/1SX6NBoVAgQJ6U1MVXOaj8PK2l7WJ3RER9xtqwdhxkhw/edit?usp=sharing"",""ประจวบคีรีขันธ์!J297"")"),0.0)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IFERROR(__xludf.DUMMYFUNCTION("IMPORTRANGE(""https://docs.google.com/spreadsheets/d/1SX6NBoVAgQJ6U1MVXOaj8PK2l7WJ3RER9xtqwdhxkhw/edit?usp=sharing"",""ประจวบคีรีขันธ์!L298"")"),0.0)</f>
        <v>0</v>
      </c>
      <c r="M403" s="197"/>
      <c r="N403" s="203">
        <f>IFERROR(__xludf.DUMMYFUNCTION("IMPORTRANGE(""https://docs.google.com/spreadsheets/d/1SX6NBoVAgQJ6U1MVXOaj8PK2l7WJ3RER9xtqwdhxkhw/edit?usp=sharing"",""ประจวบคีรีขันธ์!M298"")"),0.0)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IFERROR(__xludf.DUMMYFUNCTION("IMPORTRANGE(""https://docs.google.com/spreadsheets/d/1SX6NBoVAgQJ6U1MVXOaj8PK2l7WJ3RER9xtqwdhxkhw/edit?usp=sharing"",""ประจวบคีรีขันธ์!L299"")"),95560.0)</f>
        <v>95560</v>
      </c>
      <c r="M404" s="198"/>
      <c r="N404" s="203">
        <f>IFERROR(__xludf.DUMMYFUNCTION("IMPORTRANGE(""https://docs.google.com/spreadsheets/d/1SX6NBoVAgQJ6U1MVXOaj8PK2l7WJ3RER9xtqwdhxkhw/edit?usp=sharing"",""ประจวบคีรีขันธ์!M299"")"),0.0)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IFERROR(__xludf.DUMMYFUNCTION("IMPORTRANGE(""https://docs.google.com/spreadsheets/d/1SX6NBoVAgQJ6U1MVXOaj8PK2l7WJ3RER9xtqwdhxkhw/edit?usp=sharing"",""ประจวบคีรีขันธ์!L300"")"),0.0)</f>
        <v>0</v>
      </c>
      <c r="M405" s="203"/>
      <c r="N405" s="203">
        <f>IFERROR(__xludf.DUMMYFUNCTION("IMPORTRANGE(""https://docs.google.com/spreadsheets/d/1SX6NBoVAgQJ6U1MVXOaj8PK2l7WJ3RER9xtqwdhxkhw/edit?usp=sharing"",""ประจวบคีรีขันธ์!M300"")"),0.0)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IFERROR(__xludf.DUMMYFUNCTION("IMPORTRANGE(""https://docs.google.com/spreadsheets/d/1SX6NBoVAgQJ6U1MVXOaj8PK2l7WJ3RER9xtqwdhxkhw/edit?usp=sharing"",""ประจวบคีรีขันธ์!L301"")"),95560.0)</f>
        <v>95560</v>
      </c>
      <c r="M406" s="203"/>
      <c r="N406" s="203">
        <f>IFERROR(__xludf.DUMMYFUNCTION("IMPORTRANGE(""https://docs.google.com/spreadsheets/d/1SX6NBoVAgQJ6U1MVXOaj8PK2l7WJ3RER9xtqwdhxkhw/edit?usp=sharing"",""ประจวบคีรีขันธ์!M301"")"),0.0)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IFERROR(__xludf.DUMMYFUNCTION("IMPORTRANGE(""https://docs.google.com/spreadsheets/d/1SX6NBoVAgQJ6U1MVXOaj8PK2l7WJ3RER9xtqwdhxkhw/edit?usp=sharing"",""ประจวบคีรีขันธ์!M302"")"),0.0)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IFERROR(__xludf.DUMMYFUNCTION("IMPORTRANGE(""https://docs.google.com/spreadsheets/d/1SX6NBoVAgQJ6U1MVXOaj8PK2l7WJ3RER9xtqwdhxkhw/edit?usp=sharing"",""ประจวบคีรีขันธ์!M303"")"),0.0)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IFERROR(__xludf.DUMMYFUNCTION("IMPORTRANGE(""https://docs.google.com/spreadsheets/d/1SX6NBoVAgQJ6U1MVXOaj8PK2l7WJ3RER9xtqwdhxkhw/edit?usp=sharing"",""ประจวบคีรีขันธ์!M304"")"),0.0)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IFERROR(__xludf.DUMMYFUNCTION("IMPORTRANGE(""https://docs.google.com/spreadsheets/d/1SX6NBoVAgQJ6U1MVXOaj8PK2l7WJ3RER9xtqwdhxkhw/edit?usp=sharing"",""ประจวบคีรีขันธ์!M305"")"),0.0)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IFERROR(__xludf.DUMMYFUNCTION("IMPORTRANGE(""https://docs.google.com/spreadsheets/d/1SX6NBoVAgQJ6U1MVXOaj8PK2l7WJ3RER9xtqwdhxkhw/edit?usp=sharing"",""ประจวบคีรีขันธ์!J307"")"),1.0)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IFERROR(__xludf.DUMMYFUNCTION("IMPORTRANGE(""https://docs.google.com/spreadsheets/d/1SX6NBoVAgQJ6U1MVXOaj8PK2l7WJ3RER9xtqwdhxkhw/edit?usp=sharing"",""ประจวบคีรีขันธ์!J308"")"),1.0)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IFERROR(__xludf.DUMMYFUNCTION("IMPORTRANGE(""https://docs.google.com/spreadsheets/d/1SX6NBoVAgQJ6U1MVXOaj8PK2l7WJ3RER9xtqwdhxkhw/edit?usp=sharing"",""ประจวบคีรีขันธ์!J309"")"),1.0)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IFERROR(__xludf.DUMMYFUNCTION("IMPORTRANGE(""https://docs.google.com/spreadsheets/d/1SX6NBoVAgQJ6U1MVXOaj8PK2l7WJ3RER9xtqwdhxkhw/edit?usp=sharing"",""ประจวบคีรีขันธ์!J310"")"),0.0)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IFERROR(__xludf.DUMMYFUNCTION("IMPORTRANGE(""https://docs.google.com/spreadsheets/d/1SX6NBoVAgQJ6U1MVXOaj8PK2l7WJ3RER9xtqwdhxkhw/edit?usp=sharing"",""ประจวบคีรีขันธ์!I311"")"),30.0)</f>
        <v>30</v>
      </c>
      <c r="J416" s="235">
        <f>IFERROR(__xludf.DUMMYFUNCTION("IMPORTRANGE(""https://docs.google.com/spreadsheets/d/1SX6NBoVAgQJ6U1MVXOaj8PK2l7WJ3RER9xtqwdhxkhw/edit?usp=sharing"",""ประจวบคีรีขันธ์!J311"")"),0.0)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IFERROR(__xludf.DUMMYFUNCTION("IMPORTRANGE(""https://docs.google.com/spreadsheets/d/1SX6NBoVAgQJ6U1MVXOaj8PK2l7WJ3RER9xtqwdhxkhw/edit?usp=sharing"",""ประจวบคีรีขันธ์!I312"")"),0.0)</f>
        <v>0</v>
      </c>
      <c r="J417" s="425">
        <f>IFERROR(__xludf.DUMMYFUNCTION("IMPORTRANGE(""https://docs.google.com/spreadsheets/d/1SX6NBoVAgQJ6U1MVXOaj8PK2l7WJ3RER9xtqwdhxkhw/edit?usp=sharing"",""ประจวบคีรีขันธ์!J312"")"),0.0)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IFERROR(__xludf.DUMMYFUNCTION("IMPORTRANGE(""https://docs.google.com/spreadsheets/d/1SX6NBoVAgQJ6U1MVXOaj8PK2l7WJ3RER9xtqwdhxkhw/edit?usp=sharing"",""ประจวบคีรีขันธ์!I313"")"),0.0)</f>
        <v>0</v>
      </c>
      <c r="J418" s="426">
        <f>IFERROR(__xludf.DUMMYFUNCTION("IMPORTRANGE(""https://docs.google.com/spreadsheets/d/1SX6NBoVAgQJ6U1MVXOaj8PK2l7WJ3RER9xtqwdhxkhw/edit?usp=sharing"",""ประจวบคีรีขันธ์!J313"")"),0.0)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IFERROR(__xludf.DUMMYFUNCTION("IMPORTRANGE(""https://docs.google.com/spreadsheets/d/1SX6NBoVAgQJ6U1MVXOaj8PK2l7WJ3RER9xtqwdhxkhw/edit?usp=sharing"",""ประจวบคีรีขันธ์!I314"")"),0.0)</f>
        <v>0</v>
      </c>
      <c r="J419" s="427">
        <f>IFERROR(__xludf.DUMMYFUNCTION("IMPORTRANGE(""https://docs.google.com/spreadsheets/d/1SX6NBoVAgQJ6U1MVXOaj8PK2l7WJ3RER9xtqwdhxkhw/edit?usp=sharing"",""ประจวบคีรีขันธ์!J314"")"),0.0)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IFERROR(__xludf.DUMMYFUNCTION("IMPORTRANGE(""https://docs.google.com/spreadsheets/d/1SX6NBoVAgQJ6U1MVXOaj8PK2l7WJ3RER9xtqwdhxkhw/edit?usp=sharing"",""ประจวบคีรีขันธ์!I315"")"),0.0)</f>
        <v>0</v>
      </c>
      <c r="J420" s="427">
        <f>IFERROR(__xludf.DUMMYFUNCTION("IMPORTRANGE(""https://docs.google.com/spreadsheets/d/1SX6NBoVAgQJ6U1MVXOaj8PK2l7WJ3RER9xtqwdhxkhw/edit?usp=sharing"",""ประจวบคีรีขันธ์!J315"")"),0.0)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IFERROR(__xludf.DUMMYFUNCTION("IMPORTRANGE(""https://docs.google.com/spreadsheets/d/1SX6NBoVAgQJ6U1MVXOaj8PK2l7WJ3RER9xtqwdhxkhw/edit?usp=sharing"",""ประจวบคีรีขันธ์!I316"")"),16.0)</f>
        <v>16</v>
      </c>
      <c r="J421" s="425">
        <f>IFERROR(__xludf.DUMMYFUNCTION("IMPORTRANGE(""https://docs.google.com/spreadsheets/d/1SX6NBoVAgQJ6U1MVXOaj8PK2l7WJ3RER9xtqwdhxkhw/edit?usp=sharing"",""ประจวบคีรีขันธ์!J316"")"),0.0)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IFERROR(__xludf.DUMMYFUNCTION("IMPORTRANGE(""https://docs.google.com/spreadsheets/d/1SX6NBoVAgQJ6U1MVXOaj8PK2l7WJ3RER9xtqwdhxkhw/edit?usp=sharing"",""ประจวบคีรีขันธ์!I317"")"),48.0)</f>
        <v>48</v>
      </c>
      <c r="J422" s="426">
        <f>IFERROR(__xludf.DUMMYFUNCTION("IMPORTRANGE(""https://docs.google.com/spreadsheets/d/1SX6NBoVAgQJ6U1MVXOaj8PK2l7WJ3RER9xtqwdhxkhw/edit?usp=sharing"",""ประจวบคีรีขันธ์!J317"")"),0.0)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IFERROR(__xludf.DUMMYFUNCTION("IMPORTRANGE(""https://docs.google.com/spreadsheets/d/1SX6NBoVAgQJ6U1MVXOaj8PK2l7WJ3RER9xtqwdhxkhw/edit?usp=sharing"",""ประจวบคีรีขันธ์!I318"")"),16.0)</f>
        <v>16</v>
      </c>
      <c r="J423" s="427">
        <f>IFERROR(__xludf.DUMMYFUNCTION("IMPORTRANGE(""https://docs.google.com/spreadsheets/d/1SX6NBoVAgQJ6U1MVXOaj8PK2l7WJ3RER9xtqwdhxkhw/edit?usp=sharing"",""ประจวบคีรีขันธ์!J318"")"),0.0)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IFERROR(__xludf.DUMMYFUNCTION("IMPORTRANGE(""https://docs.google.com/spreadsheets/d/1SX6NBoVAgQJ6U1MVXOaj8PK2l7WJ3RER9xtqwdhxkhw/edit?usp=sharing"",""ประจวบคีรีขันธ์!I319"")"),16.0)</f>
        <v>16</v>
      </c>
      <c r="J424" s="427">
        <f>IFERROR(__xludf.DUMMYFUNCTION("IMPORTRANGE(""https://docs.google.com/spreadsheets/d/1SX6NBoVAgQJ6U1MVXOaj8PK2l7WJ3RER9xtqwdhxkhw/edit?usp=sharing"",""ประจวบคีรีขันธ์!J319"")"),0.0)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IFERROR(__xludf.DUMMYFUNCTION("IMPORTRANGE(""https://docs.google.com/spreadsheets/d/1SX6NBoVAgQJ6U1MVXOaj8PK2l7WJ3RER9xtqwdhxkhw/edit?usp=sharing"",""ประจวบคีรีขันธ์!I320"")"),16.0)</f>
        <v>16</v>
      </c>
      <c r="J425" s="427">
        <f>IFERROR(__xludf.DUMMYFUNCTION("IMPORTRANGE(""https://docs.google.com/spreadsheets/d/1SX6NBoVAgQJ6U1MVXOaj8PK2l7WJ3RER9xtqwdhxkhw/edit?usp=sharing"",""ประจวบคีรีขันธ์!J320"")"),0.0)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IFERROR(__xludf.DUMMYFUNCTION("IMPORTRANGE(""https://docs.google.com/spreadsheets/d/1SX6NBoVAgQJ6U1MVXOaj8PK2l7WJ3RER9xtqwdhxkhw/edit?usp=sharing"",""ประจวบคีรีขันธ์!I321"")"),14.0)</f>
        <v>14</v>
      </c>
      <c r="J426" s="425">
        <f>IFERROR(__xludf.DUMMYFUNCTION("IMPORTRANGE(""https://docs.google.com/spreadsheets/d/1SX6NBoVAgQJ6U1MVXOaj8PK2l7WJ3RER9xtqwdhxkhw/edit?usp=sharing"",""ประจวบคีรีขันธ์!J321"")"),0.0)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IFERROR(__xludf.DUMMYFUNCTION("IMPORTRANGE(""https://docs.google.com/spreadsheets/d/1SX6NBoVAgQJ6U1MVXOaj8PK2l7WJ3RER9xtqwdhxkhw/edit?usp=sharing"",""ประจวบคีรีขันธ์!I322"")"),42.0)</f>
        <v>42</v>
      </c>
      <c r="J427" s="426">
        <f>IFERROR(__xludf.DUMMYFUNCTION("IMPORTRANGE(""https://docs.google.com/spreadsheets/d/1SX6NBoVAgQJ6U1MVXOaj8PK2l7WJ3RER9xtqwdhxkhw/edit?usp=sharing"",""ประจวบคีรีขันธ์!J322"")"),0.0)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IFERROR(__xludf.DUMMYFUNCTION("IMPORTRANGE(""https://docs.google.com/spreadsheets/d/1SX6NBoVAgQJ6U1MVXOaj8PK2l7WJ3RER9xtqwdhxkhw/edit?usp=sharing"",""ประจวบคีรีขันธ์!I323"")"),14.0)</f>
        <v>14</v>
      </c>
      <c r="J428" s="427">
        <f>IFERROR(__xludf.DUMMYFUNCTION("IMPORTRANGE(""https://docs.google.com/spreadsheets/d/1SX6NBoVAgQJ6U1MVXOaj8PK2l7WJ3RER9xtqwdhxkhw/edit?usp=sharing"",""ประจวบคีรีขันธ์!J323"")"),0.0)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IFERROR(__xludf.DUMMYFUNCTION("IMPORTRANGE(""https://docs.google.com/spreadsheets/d/1SX6NBoVAgQJ6U1MVXOaj8PK2l7WJ3RER9xtqwdhxkhw/edit?usp=sharing"",""ประจวบคีรีขันธ์!I324"")"),14.0)</f>
        <v>14</v>
      </c>
      <c r="J429" s="427">
        <f>IFERROR(__xludf.DUMMYFUNCTION("IMPORTRANGE(""https://docs.google.com/spreadsheets/d/1SX6NBoVAgQJ6U1MVXOaj8PK2l7WJ3RER9xtqwdhxkhw/edit?usp=sharing"",""ประจวบคีรีขันธ์!J324"")"),0.0)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IFERROR(__xludf.DUMMYFUNCTION("IMPORTRANGE(""https://docs.google.com/spreadsheets/d/1SX6NBoVAgQJ6U1MVXOaj8PK2l7WJ3RER9xtqwdhxkhw/edit?usp=sharing"",""ประจวบคีรีขันธ์!I325"")"),16.0)</f>
        <v>16</v>
      </c>
      <c r="J430" s="425">
        <f>IFERROR(__xludf.DUMMYFUNCTION("IMPORTRANGE(""https://docs.google.com/spreadsheets/d/1SX6NBoVAgQJ6U1MVXOaj8PK2l7WJ3RER9xtqwdhxkhw/edit?usp=sharing"",""ประจวบคีรีขันธ์!J325"")"),0.0)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IFERROR(__xludf.DUMMYFUNCTION("IMPORTRANGE(""https://docs.google.com/spreadsheets/d/1SX6NBoVAgQJ6U1MVXOaj8PK2l7WJ3RER9xtqwdhxkhw/edit?usp=sharing"",""ประจวบคีรีขันธ์!I326"")"),0.0)</f>
        <v>0</v>
      </c>
      <c r="J431" s="427">
        <f>IFERROR(__xludf.DUMMYFUNCTION("IMPORTRANGE(""https://docs.google.com/spreadsheets/d/1SX6NBoVAgQJ6U1MVXOaj8PK2l7WJ3RER9xtqwdhxkhw/edit?usp=sharing"",""ประจวบคีรีขันธ์!J326"")"),0.0)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IFERROR(__xludf.DUMMYFUNCTION("IMPORTRANGE(""https://docs.google.com/spreadsheets/d/1SX6NBoVAgQJ6U1MVXOaj8PK2l7WJ3RER9xtqwdhxkhw/edit?usp=sharing"",""ประจวบคีรีขันธ์!I327"")"),16.0)</f>
        <v>16</v>
      </c>
      <c r="J432" s="427">
        <f>IFERROR(__xludf.DUMMYFUNCTION("IMPORTRANGE(""https://docs.google.com/spreadsheets/d/1SX6NBoVAgQJ6U1MVXOaj8PK2l7WJ3RER9xtqwdhxkhw/edit?usp=sharing"",""ประจวบคีรีขันธ์!J327"")"),0.0)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IFERROR(__xludf.DUMMYFUNCTION("IMPORTRANGE(""https://docs.google.com/spreadsheets/d/1SX6NBoVAgQJ6U1MVXOaj8PK2l7WJ3RER9xtqwdhxkhw/edit?usp=sharing"",""ประจวบคีรีขันธ์!J328"")"),0.0)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IFERROR(__xludf.DUMMYFUNCTION("IMPORTRANGE(""https://docs.google.com/spreadsheets/d/1SX6NBoVAgQJ6U1MVXOaj8PK2l7WJ3RER9xtqwdhxkhw/edit?usp=sharing"",""ประจวบคีรีขันธ์!J329"")"),0.0)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IFERROR(__xludf.DUMMYFUNCTION("IMPORTRANGE(""https://docs.google.com/spreadsheets/d/1SX6NBoVAgQJ6U1MVXOaj8PK2l7WJ3RER9xtqwdhxkhw/edit?usp=sharing"",""ประจวบคีรีขันธ์!I330"")"),10.0)</f>
        <v>10</v>
      </c>
      <c r="J435" s="443">
        <f>IFERROR(__xludf.DUMMYFUNCTION("IMPORTRANGE(""https://docs.google.com/spreadsheets/d/1SX6NBoVAgQJ6U1MVXOaj8PK2l7WJ3RER9xtqwdhxkhw/edit?usp=sharing"",""ประจวบคีรีขันธ์!J330"")"),0.0)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IFERROR(__xludf.DUMMYFUNCTION("IMPORTRANGE(""https://docs.google.com/spreadsheets/d/1SX6NBoVAgQJ6U1MVXOaj8PK2l7WJ3RER9xtqwdhxkhw/edit?usp=sharing"",""ประจวบคีรีขันธ์!L330"")"),71000.0)</f>
        <v>71000</v>
      </c>
      <c r="M435" s="445"/>
      <c r="N435" s="445">
        <f>IFERROR(__xludf.DUMMYFUNCTION("IMPORTRANGE(""https://docs.google.com/spreadsheets/d/1SX6NBoVAgQJ6U1MVXOaj8PK2l7WJ3RER9xtqwdhxkhw/edit?usp=sharing"",""ประจวบคีรีขันธ์!M330"")"),1720.0)</f>
        <v>1720</v>
      </c>
      <c r="O435" s="445">
        <f t="shared" ref="O435:O439" si="115">+IF(L435&gt;0,N435*100/L435,0)</f>
        <v>2.422535211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IFERROR(__xludf.DUMMYFUNCTION("IMPORTRANGE(""https://docs.google.com/spreadsheets/d/1SX6NBoVAgQJ6U1MVXOaj8PK2l7WJ3RER9xtqwdhxkhw/edit?usp=sharing"",""ประจวบคีรีขันธ์!L331"")"),0.0)</f>
        <v>0</v>
      </c>
      <c r="M436" s="197"/>
      <c r="N436" s="203">
        <f>IFERROR(__xludf.DUMMYFUNCTION("IMPORTRANGE(""https://docs.google.com/spreadsheets/d/1SX6NBoVAgQJ6U1MVXOaj8PK2l7WJ3RER9xtqwdhxkhw/edit?usp=sharing"",""ประจวบคีรีขันธ์!M331"")"),0.0)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IFERROR(__xludf.DUMMYFUNCTION("IMPORTRANGE(""https://docs.google.com/spreadsheets/d/1SX6NBoVAgQJ6U1MVXOaj8PK2l7WJ3RER9xtqwdhxkhw/edit?usp=sharing"",""ประจวบคีรีขันธ์!L332"")"),71000.0)</f>
        <v>71000</v>
      </c>
      <c r="M437" s="198"/>
      <c r="N437" s="203">
        <f>IFERROR(__xludf.DUMMYFUNCTION("IMPORTRANGE(""https://docs.google.com/spreadsheets/d/1SX6NBoVAgQJ6U1MVXOaj8PK2l7WJ3RER9xtqwdhxkhw/edit?usp=sharing"",""ประจวบคีรีขันธ์!M332"")"),1720.0)</f>
        <v>1720</v>
      </c>
      <c r="O437" s="203">
        <f t="shared" si="115"/>
        <v>2.422535211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IFERROR(__xludf.DUMMYFUNCTION("IMPORTRANGE(""https://docs.google.com/spreadsheets/d/1SX6NBoVAgQJ6U1MVXOaj8PK2l7WJ3RER9xtqwdhxkhw/edit?usp=sharing"",""ประจวบคีรีขันธ์!L333"")"),0.0)</f>
        <v>0</v>
      </c>
      <c r="M438" s="203"/>
      <c r="N438" s="203">
        <f>IFERROR(__xludf.DUMMYFUNCTION("IMPORTRANGE(""https://docs.google.com/spreadsheets/d/1SX6NBoVAgQJ6U1MVXOaj8PK2l7WJ3RER9xtqwdhxkhw/edit?usp=sharing"",""ประจวบคีรีขันธ์!M333"")"),0.0)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IFERROR(__xludf.DUMMYFUNCTION("IMPORTRANGE(""https://docs.google.com/spreadsheets/d/1SX6NBoVAgQJ6U1MVXOaj8PK2l7WJ3RER9xtqwdhxkhw/edit?usp=sharing"",""ประจวบคีรีขันธ์!L334"")"),71000.0)</f>
        <v>71000</v>
      </c>
      <c r="M439" s="203"/>
      <c r="N439" s="203">
        <f>IFERROR(__xludf.DUMMYFUNCTION("IMPORTRANGE(""https://docs.google.com/spreadsheets/d/1SX6NBoVAgQJ6U1MVXOaj8PK2l7WJ3RER9xtqwdhxkhw/edit?usp=sharing"",""ประจวบคีรีขันธ์!M334"")"),1720.0)</f>
        <v>1720</v>
      </c>
      <c r="O439" s="203">
        <f t="shared" si="115"/>
        <v>2.422535211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IFERROR(__xludf.DUMMYFUNCTION("IMPORTRANGE(""https://docs.google.com/spreadsheets/d/1SX6NBoVAgQJ6U1MVXOaj8PK2l7WJ3RER9xtqwdhxkhw/edit?usp=sharing"",""ประจวบคีรีขันธ์!M335"")"),1720.0)</f>
        <v>1720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IFERROR(__xludf.DUMMYFUNCTION("IMPORTRANGE(""https://docs.google.com/spreadsheets/d/1SX6NBoVAgQJ6U1MVXOaj8PK2l7WJ3RER9xtqwdhxkhw/edit?usp=sharing"",""ประจวบคีรีขันธ์!M336"")"),0.0)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IFERROR(__xludf.DUMMYFUNCTION("IMPORTRANGE(""https://docs.google.com/spreadsheets/d/1SX6NBoVAgQJ6U1MVXOaj8PK2l7WJ3RER9xtqwdhxkhw/edit?usp=sharing"",""ประจวบคีรีขันธ์!M337"")"),0.0)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IFERROR(__xludf.DUMMYFUNCTION("IMPORTRANGE(""https://docs.google.com/spreadsheets/d/1SX6NBoVAgQJ6U1MVXOaj8PK2l7WJ3RER9xtqwdhxkhw/edit?usp=sharing"",""ประจวบคีรีขันธ์!M338"")"),0.0)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IFERROR(__xludf.DUMMYFUNCTION("IMPORTRANGE(""https://docs.google.com/spreadsheets/d/1SX6NBoVAgQJ6U1MVXOaj8PK2l7WJ3RER9xtqwdhxkhw/edit?usp=sharing"",""ประจวบคีรีขันธ์!J340"")"),0.0)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IFERROR(__xludf.DUMMYFUNCTION("IMPORTRANGE(""https://docs.google.com/spreadsheets/d/1SX6NBoVAgQJ6U1MVXOaj8PK2l7WJ3RER9xtqwdhxkhw/edit?usp=sharing"",""ประจวบคีรีขันธ์!J341"")"),1.0)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IFERROR(__xludf.DUMMYFUNCTION("IMPORTRANGE(""https://docs.google.com/spreadsheets/d/1SX6NBoVAgQJ6U1MVXOaj8PK2l7WJ3RER9xtqwdhxkhw/edit?usp=sharing"",""ประจวบคีรีขันธ์!J342"")"),1.0)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IFERROR(__xludf.DUMMYFUNCTION("IMPORTRANGE(""https://docs.google.com/spreadsheets/d/1SX6NBoVAgQJ6U1MVXOaj8PK2l7WJ3RER9xtqwdhxkhw/edit?usp=sharing"",""ประจวบคีรีขันธ์!J343"")"),0.0)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IFERROR(__xludf.DUMMYFUNCTION("IMPORTRANGE(""https://docs.google.com/spreadsheets/d/1SX6NBoVAgQJ6U1MVXOaj8PK2l7WJ3RER9xtqwdhxkhw/edit?usp=sharing"",""ประจวบคีรีขันธ์!I344"")"),10.0)</f>
        <v>10</v>
      </c>
      <c r="J449" s="235">
        <f>IFERROR(__xludf.DUMMYFUNCTION("IMPORTRANGE(""https://docs.google.com/spreadsheets/d/1SX6NBoVAgQJ6U1MVXOaj8PK2l7WJ3RER9xtqwdhxkhw/edit?usp=sharing"",""ประจวบคีรีขันธ์!J344"")"),0.0)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IFERROR(__xludf.DUMMYFUNCTION("IMPORTRANGE(""https://docs.google.com/spreadsheets/d/1SX6NBoVAgQJ6U1MVXOaj8PK2l7WJ3RER9xtqwdhxkhw/edit?usp=sharing"",""ประจวบคีรีขันธ์!I345"")"),10.0)</f>
        <v>10</v>
      </c>
      <c r="J450" s="223">
        <f>IFERROR(__xludf.DUMMYFUNCTION("IMPORTRANGE(""https://docs.google.com/spreadsheets/d/1SX6NBoVAgQJ6U1MVXOaj8PK2l7WJ3RER9xtqwdhxkhw/edit?usp=sharing"",""ประจวบคีรีขันธ์!J345"")"),0.0)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IFERROR(__xludf.DUMMYFUNCTION("IMPORTRANGE(""https://docs.google.com/spreadsheets/d/1SX6NBoVAgQJ6U1MVXOaj8PK2l7WJ3RER9xtqwdhxkhw/edit?usp=sharing"",""ประจวบคีรีขันธ์!I346"")"),0.0)</f>
        <v>0</v>
      </c>
      <c r="J451" s="222">
        <f>IFERROR(__xludf.DUMMYFUNCTION("IMPORTRANGE(""https://docs.google.com/spreadsheets/d/1SX6NBoVAgQJ6U1MVXOaj8PK2l7WJ3RER9xtqwdhxkhw/edit?usp=sharing"",""ประจวบคีรีขันธ์!J346"")"),0.0)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IFERROR(__xludf.DUMMYFUNCTION("IMPORTRANGE(""https://docs.google.com/spreadsheets/d/1SX6NBoVAgQJ6U1MVXOaj8PK2l7WJ3RER9xtqwdhxkhw/edit?usp=sharing"",""ประจวบคีรีขันธ์!I347"")"),0.0)</f>
        <v>0</v>
      </c>
      <c r="J452" s="222">
        <f>IFERROR(__xludf.DUMMYFUNCTION("IMPORTRANGE(""https://docs.google.com/spreadsheets/d/1SX6NBoVAgQJ6U1MVXOaj8PK2l7WJ3RER9xtqwdhxkhw/edit?usp=sharing"",""ประจวบคีรีขันธ์!J347"")"),0.0)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IFERROR(__xludf.DUMMYFUNCTION("IMPORTRANGE(""https://docs.google.com/spreadsheets/d/1SX6NBoVAgQJ6U1MVXOaj8PK2l7WJ3RER9xtqwdhxkhw/edit?usp=sharing"",""ประจวบคีรีขันธ์!J348"")"),0.0)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IFERROR(__xludf.DUMMYFUNCTION("IMPORTRANGE(""https://docs.google.com/spreadsheets/d/1SX6NBoVAgQJ6U1MVXOaj8PK2l7WJ3RER9xtqwdhxkhw/edit?usp=sharing"",""ประจวบคีรีขันธ์!J349"")"),0.0)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IFERROR(__xludf.DUMMYFUNCTION("IMPORTRANGE(""https://docs.google.com/spreadsheets/d/1SX6NBoVAgQJ6U1MVXOaj8PK2l7WJ3RER9xtqwdhxkhw/edit?usp=sharing"",""ประจวบคีรีขันธ์!I350"")"),19789.0)</f>
        <v>19789</v>
      </c>
      <c r="J455" s="404">
        <f>IFERROR(__xludf.DUMMYFUNCTION("IMPORTRANGE(""https://docs.google.com/spreadsheets/d/1SX6NBoVAgQJ6U1MVXOaj8PK2l7WJ3RER9xtqwdhxkhw/edit?usp=sharing"",""ประจวบคีรีขันธ์!J350"")"),0.0)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IFERROR(__xludf.DUMMYFUNCTION("IMPORTRANGE(""https://docs.google.com/spreadsheets/d/1SX6NBoVAgQJ6U1MVXOaj8PK2l7WJ3RER9xtqwdhxkhw/edit?usp=sharing"",""ประจวบคีรีขันธ์!L350"")"),155069.0)</f>
        <v>155069</v>
      </c>
      <c r="M455" s="406"/>
      <c r="N455" s="406">
        <f>IFERROR(__xludf.DUMMYFUNCTION("IMPORTRANGE(""https://docs.google.com/spreadsheets/d/1SX6NBoVAgQJ6U1MVXOaj8PK2l7WJ3RER9xtqwdhxkhw/edit?usp=sharing"",""ประจวบคีรีขันธ์!M350"")"),0.0)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IFERROR(__xludf.DUMMYFUNCTION("IMPORTRANGE(""https://docs.google.com/spreadsheets/d/1SX6NBoVAgQJ6U1MVXOaj8PK2l7WJ3RER9xtqwdhxkhw/edit?usp=sharing"",""ประจวบคีรีขันธ์!L351"")"),0.0)</f>
        <v>0</v>
      </c>
      <c r="M456" s="197"/>
      <c r="N456" s="203">
        <f>IFERROR(__xludf.DUMMYFUNCTION("IMPORTRANGE(""https://docs.google.com/spreadsheets/d/1SX6NBoVAgQJ6U1MVXOaj8PK2l7WJ3RER9xtqwdhxkhw/edit?usp=sharing"",""ประจวบคีรีขันธ์!M351"")"),0.0)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IFERROR(__xludf.DUMMYFUNCTION("IMPORTRANGE(""https://docs.google.com/spreadsheets/d/1SX6NBoVAgQJ6U1MVXOaj8PK2l7WJ3RER9xtqwdhxkhw/edit?usp=sharing"",""ประจวบคีรีขันธ์!L352"")"),155069.0)</f>
        <v>155069</v>
      </c>
      <c r="M457" s="198"/>
      <c r="N457" s="203">
        <f>IFERROR(__xludf.DUMMYFUNCTION("IMPORTRANGE(""https://docs.google.com/spreadsheets/d/1SX6NBoVAgQJ6U1MVXOaj8PK2l7WJ3RER9xtqwdhxkhw/edit?usp=sharing"",""ประจวบคีรีขันธ์!M352"")"),0.0)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IFERROR(__xludf.DUMMYFUNCTION("IMPORTRANGE(""https://docs.google.com/spreadsheets/d/1SX6NBoVAgQJ6U1MVXOaj8PK2l7WJ3RER9xtqwdhxkhw/edit?usp=sharing"",""ประจวบคีรีขันธ์!L353"")"),0.0)</f>
        <v>0</v>
      </c>
      <c r="M458" s="203"/>
      <c r="N458" s="203">
        <f>IFERROR(__xludf.DUMMYFUNCTION("IMPORTRANGE(""https://docs.google.com/spreadsheets/d/1SX6NBoVAgQJ6U1MVXOaj8PK2l7WJ3RER9xtqwdhxkhw/edit?usp=sharing"",""ประจวบคีรีขันธ์!M353"")"),0.0)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IFERROR(__xludf.DUMMYFUNCTION("IMPORTRANGE(""https://docs.google.com/spreadsheets/d/1SX6NBoVAgQJ6U1MVXOaj8PK2l7WJ3RER9xtqwdhxkhw/edit?usp=sharing"",""ประจวบคีรีขันธ์!L354"")"),155069.0)</f>
        <v>155069</v>
      </c>
      <c r="M459" s="203"/>
      <c r="N459" s="203">
        <f>IFERROR(__xludf.DUMMYFUNCTION("IMPORTRANGE(""https://docs.google.com/spreadsheets/d/1SX6NBoVAgQJ6U1MVXOaj8PK2l7WJ3RER9xtqwdhxkhw/edit?usp=sharing"",""ประจวบคีรีขันธ์!M354"")"),0.0)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IFERROR(__xludf.DUMMYFUNCTION("IMPORTRANGE(""https://docs.google.com/spreadsheets/d/1SX6NBoVAgQJ6U1MVXOaj8PK2l7WJ3RER9xtqwdhxkhw/edit?usp=sharing"",""ประจวบคีรีขันธ์!M355"")"),0.0)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IFERROR(__xludf.DUMMYFUNCTION("IMPORTRANGE(""https://docs.google.com/spreadsheets/d/1SX6NBoVAgQJ6U1MVXOaj8PK2l7WJ3RER9xtqwdhxkhw/edit?usp=sharing"",""ประจวบคีรีขันธ์!M356"")"),0.0)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IFERROR(__xludf.DUMMYFUNCTION("IMPORTRANGE(""https://docs.google.com/spreadsheets/d/1SX6NBoVAgQJ6U1MVXOaj8PK2l7WJ3RER9xtqwdhxkhw/edit?usp=sharing"",""ประจวบคีรีขันธ์!M357"")"),0.0)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IFERROR(__xludf.DUMMYFUNCTION("IMPORTRANGE(""https://docs.google.com/spreadsheets/d/1SX6NBoVAgQJ6U1MVXOaj8PK2l7WJ3RER9xtqwdhxkhw/edit?usp=sharing"",""ประจวบคีรีขันธ์!M358"")"),0.0)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IFERROR(__xludf.DUMMYFUNCTION("IMPORTRANGE(""https://docs.google.com/spreadsheets/d/1SX6NBoVAgQJ6U1MVXOaj8PK2l7WJ3RER9xtqwdhxkhw/edit?usp=sharing"",""ประจวบคีรีขันธ์!I359"")"),19789.0)</f>
        <v>19789</v>
      </c>
      <c r="J464" s="301">
        <f>IFERROR(__xludf.DUMMYFUNCTION("IMPORTRANGE(""https://docs.google.com/spreadsheets/d/1SX6NBoVAgQJ6U1MVXOaj8PK2l7WJ3RER9xtqwdhxkhw/edit?usp=sharing"",""ประจวบคีรีขันธ์!J359"")"),0.0)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IFERROR(__xludf.DUMMYFUNCTION("IMPORTRANGE(""https://docs.google.com/spreadsheets/d/1SX6NBoVAgQJ6U1MVXOaj8PK2l7WJ3RER9xtqwdhxkhw/edit?usp=sharing"",""ประจวบคีรีขันธ์!I360"")"),19789.0)</f>
        <v>19789</v>
      </c>
      <c r="J465" s="453">
        <f>IFERROR(__xludf.DUMMYFUNCTION("IMPORTRANGE(""https://docs.google.com/spreadsheets/d/1SX6NBoVAgQJ6U1MVXOaj8PK2l7WJ3RER9xtqwdhxkhw/edit?usp=sharing"",""ประจวบคีรีขันธ์!J360"")"),0.0)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IFERROR(__xludf.DUMMYFUNCTION("IMPORTRANGE(""https://docs.google.com/spreadsheets/d/1SX6NBoVAgQJ6U1MVXOaj8PK2l7WJ3RER9xtqwdhxkhw/edit?usp=sharing"",""ประจวบคีรีขันธ์!I361"")"),2020.0)</f>
        <v>2020</v>
      </c>
      <c r="J466" s="453">
        <f>IFERROR(__xludf.DUMMYFUNCTION("IMPORTRANGE(""https://docs.google.com/spreadsheets/d/1SX6NBoVAgQJ6U1MVXOaj8PK2l7WJ3RER9xtqwdhxkhw/edit?usp=sharing"",""ประจวบคีรีขันธ์!J361"")"),0.0)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IFERROR(__xludf.DUMMYFUNCTION("IMPORTRANGE(""https://docs.google.com/spreadsheets/d/1SX6NBoVAgQJ6U1MVXOaj8PK2l7WJ3RER9xtqwdhxkhw/edit?usp=sharing"",""ประจวบคีรีขันธ์!I362"")"),0.0)</f>
        <v>0</v>
      </c>
      <c r="J467" s="223">
        <f>IFERROR(__xludf.DUMMYFUNCTION("IMPORTRANGE(""https://docs.google.com/spreadsheets/d/1SX6NBoVAgQJ6U1MVXOaj8PK2l7WJ3RER9xtqwdhxkhw/edit?usp=sharing"",""ประจวบคีรีขันธ์!J362"")"),0.0)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IFERROR(__xludf.DUMMYFUNCTION("IMPORTRANGE(""https://docs.google.com/spreadsheets/d/1SX6NBoVAgQJ6U1MVXOaj8PK2l7WJ3RER9xtqwdhxkhw/edit?usp=sharing"",""ประจวบคีรีขันธ์!I363"")"),0.0)</f>
        <v>0</v>
      </c>
      <c r="J468" s="223">
        <f>IFERROR(__xludf.DUMMYFUNCTION("IMPORTRANGE(""https://docs.google.com/spreadsheets/d/1SX6NBoVAgQJ6U1MVXOaj8PK2l7WJ3RER9xtqwdhxkhw/edit?usp=sharing"",""ประจวบคีรีขันธ์!J363"")"),0.0)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IFERROR(__xludf.DUMMYFUNCTION("IMPORTRANGE(""https://docs.google.com/spreadsheets/d/1SX6NBoVAgQJ6U1MVXOaj8PK2l7WJ3RER9xtqwdhxkhw/edit?usp=sharing"",""ประจวบคีรีขันธ์!I364"")"),0.0)</f>
        <v>0</v>
      </c>
      <c r="J469" s="223">
        <f>IFERROR(__xludf.DUMMYFUNCTION("IMPORTRANGE(""https://docs.google.com/spreadsheets/d/1SX6NBoVAgQJ6U1MVXOaj8PK2l7WJ3RER9xtqwdhxkhw/edit?usp=sharing"",""ประจวบคีรีขันธ์!J364"")"),0.0)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IFERROR(__xludf.DUMMYFUNCTION("IMPORTRANGE(""https://docs.google.com/spreadsheets/d/1SX6NBoVAgQJ6U1MVXOaj8PK2l7WJ3RER9xtqwdhxkhw/edit?usp=sharing"",""ประจวบคีรีขันธ์!I365"")"),0.0)</f>
        <v>0</v>
      </c>
      <c r="J470" s="223">
        <f>IFERROR(__xludf.DUMMYFUNCTION("IMPORTRANGE(""https://docs.google.com/spreadsheets/d/1SX6NBoVAgQJ6U1MVXOaj8PK2l7WJ3RER9xtqwdhxkhw/edit?usp=sharing"",""ประจวบคีรีขันธ์!J365"")"),0.0)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IFERROR(__xludf.DUMMYFUNCTION("IMPORTRANGE(""https://docs.google.com/spreadsheets/d/1SX6NBoVAgQJ6U1MVXOaj8PK2l7WJ3RER9xtqwdhxkhw/edit?usp=sharing"",""ประจวบคีรีขันธ์!I366"")"),0.0)</f>
        <v>0</v>
      </c>
      <c r="J471" s="223">
        <f>IFERROR(__xludf.DUMMYFUNCTION("IMPORTRANGE(""https://docs.google.com/spreadsheets/d/1SX6NBoVAgQJ6U1MVXOaj8PK2l7WJ3RER9xtqwdhxkhw/edit?usp=sharing"",""ประจวบคีรีขันธ์!J366"")"),0.0)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IFERROR(__xludf.DUMMYFUNCTION("IMPORTRANGE(""https://docs.google.com/spreadsheets/d/1SX6NBoVAgQJ6U1MVXOaj8PK2l7WJ3RER9xtqwdhxkhw/edit?usp=sharing"",""ประจวบคีรีขันธ์!I367"")"),0.0)</f>
        <v>0</v>
      </c>
      <c r="J472" s="223">
        <f>IFERROR(__xludf.DUMMYFUNCTION("IMPORTRANGE(""https://docs.google.com/spreadsheets/d/1SX6NBoVAgQJ6U1MVXOaj8PK2l7WJ3RER9xtqwdhxkhw/edit?usp=sharing"",""ประจวบคีรีขันธ์!J367"")"),0.0)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IFERROR(__xludf.DUMMYFUNCTION("IMPORTRANGE(""https://docs.google.com/spreadsheets/d/1SX6NBoVAgQJ6U1MVXOaj8PK2l7WJ3RER9xtqwdhxkhw/edit?usp=sharing"",""ประจวบคีรีขันธ์!I368"")"),19789.0)</f>
        <v>19789</v>
      </c>
      <c r="J473" s="453">
        <f>IFERROR(__xludf.DUMMYFUNCTION("IMPORTRANGE(""https://docs.google.com/spreadsheets/d/1SX6NBoVAgQJ6U1MVXOaj8PK2l7WJ3RER9xtqwdhxkhw/edit?usp=sharing"",""ประจวบคีรีขันธ์!J368"")"),0.0)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IFERROR(__xludf.DUMMYFUNCTION("IMPORTRANGE(""https://docs.google.com/spreadsheets/d/1SX6NBoVAgQJ6U1MVXOaj8PK2l7WJ3RER9xtqwdhxkhw/edit?usp=sharing"",""ประจวบคีรีขันธ์!I369"")"),2020.0)</f>
        <v>2020</v>
      </c>
      <c r="J474" s="453">
        <f>IFERROR(__xludf.DUMMYFUNCTION("IMPORTRANGE(""https://docs.google.com/spreadsheets/d/1SX6NBoVAgQJ6U1MVXOaj8PK2l7WJ3RER9xtqwdhxkhw/edit?usp=sharing"",""ประจวบคีรีขันธ์!J369"")"),0.0)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IFERROR(__xludf.DUMMYFUNCTION("IMPORTRANGE(""https://docs.google.com/spreadsheets/d/1SX6NBoVAgQJ6U1MVXOaj8PK2l7WJ3RER9xtqwdhxkhw/edit?usp=sharing"",""ประจวบคีรีขันธ์!I370"")"),0.0)</f>
        <v>0</v>
      </c>
      <c r="J475" s="223">
        <f>IFERROR(__xludf.DUMMYFUNCTION("IMPORTRANGE(""https://docs.google.com/spreadsheets/d/1SX6NBoVAgQJ6U1MVXOaj8PK2l7WJ3RER9xtqwdhxkhw/edit?usp=sharing"",""ประจวบคีรีขันธ์!J370"")"),0.0)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IFERROR(__xludf.DUMMYFUNCTION("IMPORTRANGE(""https://docs.google.com/spreadsheets/d/1SX6NBoVAgQJ6U1MVXOaj8PK2l7WJ3RER9xtqwdhxkhw/edit?usp=sharing"",""ประจวบคีรีขันธ์!I371"")"),0.0)</f>
        <v>0</v>
      </c>
      <c r="J476" s="223">
        <f>IFERROR(__xludf.DUMMYFUNCTION("IMPORTRANGE(""https://docs.google.com/spreadsheets/d/1SX6NBoVAgQJ6U1MVXOaj8PK2l7WJ3RER9xtqwdhxkhw/edit?usp=sharing"",""ประจวบคีรีขันธ์!J371"")"),0.0)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IFERROR(__xludf.DUMMYFUNCTION("IMPORTRANGE(""https://docs.google.com/spreadsheets/d/1SX6NBoVAgQJ6U1MVXOaj8PK2l7WJ3RER9xtqwdhxkhw/edit?usp=sharing"",""ประจวบคีรีขันธ์!I372"")"),0.0)</f>
        <v>0</v>
      </c>
      <c r="J477" s="223">
        <f>IFERROR(__xludf.DUMMYFUNCTION("IMPORTRANGE(""https://docs.google.com/spreadsheets/d/1SX6NBoVAgQJ6U1MVXOaj8PK2l7WJ3RER9xtqwdhxkhw/edit?usp=sharing"",""ประจวบคีรีขันธ์!J372"")"),0.0)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IFERROR(__xludf.DUMMYFUNCTION("IMPORTRANGE(""https://docs.google.com/spreadsheets/d/1SX6NBoVAgQJ6U1MVXOaj8PK2l7WJ3RER9xtqwdhxkhw/edit?usp=sharing"",""ประจวบคีรีขันธ์!I373"")"),0.0)</f>
        <v>0</v>
      </c>
      <c r="J478" s="223">
        <f>IFERROR(__xludf.DUMMYFUNCTION("IMPORTRANGE(""https://docs.google.com/spreadsheets/d/1SX6NBoVAgQJ6U1MVXOaj8PK2l7WJ3RER9xtqwdhxkhw/edit?usp=sharing"",""ประจวบคีรีขันธ์!J373"")"),0.0)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IFERROR(__xludf.DUMMYFUNCTION("IMPORTRANGE(""https://docs.google.com/spreadsheets/d/1SX6NBoVAgQJ6U1MVXOaj8PK2l7WJ3RER9xtqwdhxkhw/edit?usp=sharing"",""ประจวบคีรีขันธ์!I374"")"),0.0)</f>
        <v>0</v>
      </c>
      <c r="J479" s="223">
        <f>IFERROR(__xludf.DUMMYFUNCTION("IMPORTRANGE(""https://docs.google.com/spreadsheets/d/1SX6NBoVAgQJ6U1MVXOaj8PK2l7WJ3RER9xtqwdhxkhw/edit?usp=sharing"",""ประจวบคีรีขันธ์!J374"")"),0.0)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IFERROR(__xludf.DUMMYFUNCTION("IMPORTRANGE(""https://docs.google.com/spreadsheets/d/1SX6NBoVAgQJ6U1MVXOaj8PK2l7WJ3RER9xtqwdhxkhw/edit?usp=sharing"",""ประจวบคีรีขันธ์!I375"")"),0.0)</f>
        <v>0</v>
      </c>
      <c r="J480" s="223">
        <f>IFERROR(__xludf.DUMMYFUNCTION("IMPORTRANGE(""https://docs.google.com/spreadsheets/d/1SX6NBoVAgQJ6U1MVXOaj8PK2l7WJ3RER9xtqwdhxkhw/edit?usp=sharing"",""ประจวบคีรีขันธ์!J375"")"),0.0)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IFERROR(__xludf.DUMMYFUNCTION("IMPORTRANGE(""https://docs.google.com/spreadsheets/d/1SX6NBoVAgQJ6U1MVXOaj8PK2l7WJ3RER9xtqwdhxkhw/edit?usp=sharing"",""ประจวบคีรีขันธ์!I376"")"),19789.0)</f>
        <v>19789</v>
      </c>
      <c r="J481" s="453">
        <f>IFERROR(__xludf.DUMMYFUNCTION("IMPORTRANGE(""https://docs.google.com/spreadsheets/d/1SX6NBoVAgQJ6U1MVXOaj8PK2l7WJ3RER9xtqwdhxkhw/edit?usp=sharing"",""ประจวบคีรีขันธ์!J376"")"),0.0)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IFERROR(__xludf.DUMMYFUNCTION("IMPORTRANGE(""https://docs.google.com/spreadsheets/d/1SX6NBoVAgQJ6U1MVXOaj8PK2l7WJ3RER9xtqwdhxkhw/edit?usp=sharing"",""ประจวบคีรีขันธ์!I377"")"),2020.0)</f>
        <v>2020</v>
      </c>
      <c r="J482" s="453">
        <f>IFERROR(__xludf.DUMMYFUNCTION("IMPORTRANGE(""https://docs.google.com/spreadsheets/d/1SX6NBoVAgQJ6U1MVXOaj8PK2l7WJ3RER9xtqwdhxkhw/edit?usp=sharing"",""ประจวบคีรีขันธ์!J377"")"),0.0)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IFERROR(__xludf.DUMMYFUNCTION("IMPORTRANGE(""https://docs.google.com/spreadsheets/d/1SX6NBoVAgQJ6U1MVXOaj8PK2l7WJ3RER9xtqwdhxkhw/edit?usp=sharing"",""ประจวบคีรีขันธ์!I378"")"),0.0)</f>
        <v>0</v>
      </c>
      <c r="J483" s="223">
        <f>IFERROR(__xludf.DUMMYFUNCTION("IMPORTRANGE(""https://docs.google.com/spreadsheets/d/1SX6NBoVAgQJ6U1MVXOaj8PK2l7WJ3RER9xtqwdhxkhw/edit?usp=sharing"",""ประจวบคีรีขันธ์!J378"")"),0.0)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IFERROR(__xludf.DUMMYFUNCTION("IMPORTRANGE(""https://docs.google.com/spreadsheets/d/1SX6NBoVAgQJ6U1MVXOaj8PK2l7WJ3RER9xtqwdhxkhw/edit?usp=sharing"",""ประจวบคีรีขันธ์!I379"")"),0.0)</f>
        <v>0</v>
      </c>
      <c r="J484" s="223">
        <f>IFERROR(__xludf.DUMMYFUNCTION("IMPORTRANGE(""https://docs.google.com/spreadsheets/d/1SX6NBoVAgQJ6U1MVXOaj8PK2l7WJ3RER9xtqwdhxkhw/edit?usp=sharing"",""ประจวบคีรีขันธ์!J379"")"),0.0)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IFERROR(__xludf.DUMMYFUNCTION("IMPORTRANGE(""https://docs.google.com/spreadsheets/d/1SX6NBoVAgQJ6U1MVXOaj8PK2l7WJ3RER9xtqwdhxkhw/edit?usp=sharing"",""ประจวบคีรีขันธ์!I380"")"),0.0)</f>
        <v>0</v>
      </c>
      <c r="J485" s="223">
        <f>IFERROR(__xludf.DUMMYFUNCTION("IMPORTRANGE(""https://docs.google.com/spreadsheets/d/1SX6NBoVAgQJ6U1MVXOaj8PK2l7WJ3RER9xtqwdhxkhw/edit?usp=sharing"",""ประจวบคีรีขันธ์!J380"")"),0.0)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IFERROR(__xludf.DUMMYFUNCTION("IMPORTRANGE(""https://docs.google.com/spreadsheets/d/1SX6NBoVAgQJ6U1MVXOaj8PK2l7WJ3RER9xtqwdhxkhw/edit?usp=sharing"",""ประจวบคีรีขันธ์!I381"")"),0.0)</f>
        <v>0</v>
      </c>
      <c r="J486" s="223">
        <f>IFERROR(__xludf.DUMMYFUNCTION("IMPORTRANGE(""https://docs.google.com/spreadsheets/d/1SX6NBoVAgQJ6U1MVXOaj8PK2l7WJ3RER9xtqwdhxkhw/edit?usp=sharing"",""ประจวบคีรีขันธ์!J381"")"),0.0)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IFERROR(__xludf.DUMMYFUNCTION("IMPORTRANGE(""https://docs.google.com/spreadsheets/d/1SX6NBoVAgQJ6U1MVXOaj8PK2l7WJ3RER9xtqwdhxkhw/edit?usp=sharing"",""ประจวบคีรีขันธ์!I382"")"),0.0)</f>
        <v>0</v>
      </c>
      <c r="J487" s="453">
        <f>IFERROR(__xludf.DUMMYFUNCTION("IMPORTRANGE(""https://docs.google.com/spreadsheets/d/1SX6NBoVAgQJ6U1MVXOaj8PK2l7WJ3RER9xtqwdhxkhw/edit?usp=sharing"",""ประจวบคีรีขันธ์!J382"")"),0.0)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IFERROR(__xludf.DUMMYFUNCTION("IMPORTRANGE(""https://docs.google.com/spreadsheets/d/1SX6NBoVAgQJ6U1MVXOaj8PK2l7WJ3RER9xtqwdhxkhw/edit?usp=sharing"",""ประจวบคีรีขันธ์!I383"")"),0.0)</f>
        <v>0</v>
      </c>
      <c r="J488" s="453">
        <f>IFERROR(__xludf.DUMMYFUNCTION("IMPORTRANGE(""https://docs.google.com/spreadsheets/d/1SX6NBoVAgQJ6U1MVXOaj8PK2l7WJ3RER9xtqwdhxkhw/edit?usp=sharing"",""ประจวบคีรีขันธ์!J383"")"),0.0)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IFERROR(__xludf.DUMMYFUNCTION("IMPORTRANGE(""https://docs.google.com/spreadsheets/d/1SX6NBoVAgQJ6U1MVXOaj8PK2l7WJ3RER9xtqwdhxkhw/edit?usp=sharing"",""ประจวบคีรีขันธ์!I384"")"),0.0)</f>
        <v>0</v>
      </c>
      <c r="J489" s="223">
        <f>IFERROR(__xludf.DUMMYFUNCTION("IMPORTRANGE(""https://docs.google.com/spreadsheets/d/1SX6NBoVAgQJ6U1MVXOaj8PK2l7WJ3RER9xtqwdhxkhw/edit?usp=sharing"",""ประจวบคีรีขันธ์!J384"")"),0.0)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IFERROR(__xludf.DUMMYFUNCTION("IMPORTRANGE(""https://docs.google.com/spreadsheets/d/1SX6NBoVAgQJ6U1MVXOaj8PK2l7WJ3RER9xtqwdhxkhw/edit?usp=sharing"",""ประจวบคีรีขันธ์!I385"")"),0.0)</f>
        <v>0</v>
      </c>
      <c r="J490" s="223">
        <f>IFERROR(__xludf.DUMMYFUNCTION("IMPORTRANGE(""https://docs.google.com/spreadsheets/d/1SX6NBoVAgQJ6U1MVXOaj8PK2l7WJ3RER9xtqwdhxkhw/edit?usp=sharing"",""ประจวบคีรีขันธ์!J385"")"),0.0)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IFERROR(__xludf.DUMMYFUNCTION("IMPORTRANGE(""https://docs.google.com/spreadsheets/d/1SX6NBoVAgQJ6U1MVXOaj8PK2l7WJ3RER9xtqwdhxkhw/edit?usp=sharing"",""ประจวบคีรีขันธ์!I386"")"),0.0)</f>
        <v>0</v>
      </c>
      <c r="J491" s="223">
        <f>IFERROR(__xludf.DUMMYFUNCTION("IMPORTRANGE(""https://docs.google.com/spreadsheets/d/1SX6NBoVAgQJ6U1MVXOaj8PK2l7WJ3RER9xtqwdhxkhw/edit?usp=sharing"",""ประจวบคีรีขันธ์!J386"")"),0.0)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IFERROR(__xludf.DUMMYFUNCTION("IMPORTRANGE(""https://docs.google.com/spreadsheets/d/1SX6NBoVAgQJ6U1MVXOaj8PK2l7WJ3RER9xtqwdhxkhw/edit?usp=sharing"",""ประจวบคีรีขันธ์!I387"")"),0.0)</f>
        <v>0</v>
      </c>
      <c r="J492" s="223">
        <f>IFERROR(__xludf.DUMMYFUNCTION("IMPORTRANGE(""https://docs.google.com/spreadsheets/d/1SX6NBoVAgQJ6U1MVXOaj8PK2l7WJ3RER9xtqwdhxkhw/edit?usp=sharing"",""ประจวบคีรีขันธ์!J387"")"),0.0)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IFERROR(__xludf.DUMMYFUNCTION("IMPORTRANGE(""https://docs.google.com/spreadsheets/d/1SX6NBoVAgQJ6U1MVXOaj8PK2l7WJ3RER9xtqwdhxkhw/edit?usp=sharing"",""ประจวบคีรีขันธ์!I388"")"),0.0)</f>
        <v>0</v>
      </c>
      <c r="J493" s="223">
        <f>IFERROR(__xludf.DUMMYFUNCTION("IMPORTRANGE(""https://docs.google.com/spreadsheets/d/1SX6NBoVAgQJ6U1MVXOaj8PK2l7WJ3RER9xtqwdhxkhw/edit?usp=sharing"",""ประจวบคีรีขันธ์!J388"")"),0.0)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IFERROR(__xludf.DUMMYFUNCTION("IMPORTRANGE(""https://docs.google.com/spreadsheets/d/1SX6NBoVAgQJ6U1MVXOaj8PK2l7WJ3RER9xtqwdhxkhw/edit?usp=sharing"",""ประจวบคีรีขันธ์!I389"")"),0.0)</f>
        <v>0</v>
      </c>
      <c r="J494" s="469">
        <f>IFERROR(__xludf.DUMMYFUNCTION("IMPORTRANGE(""https://docs.google.com/spreadsheets/d/1SX6NBoVAgQJ6U1MVXOaj8PK2l7WJ3RER9xtqwdhxkhw/edit?usp=sharing"",""ประจวบคีรีขันธ์!J389"")"),0.0)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IFERROR(__xludf.DUMMYFUNCTION("IMPORTRANGE(""https://docs.google.com/spreadsheets/d/1SX6NBoVAgQJ6U1MVXOaj8PK2l7WJ3RER9xtqwdhxkhw/edit?usp=sharing"",""ประจวบคีรีขันธ์!I390"")"),0.0)</f>
        <v>0</v>
      </c>
      <c r="J495" s="469">
        <f>IFERROR(__xludf.DUMMYFUNCTION("IMPORTRANGE(""https://docs.google.com/spreadsheets/d/1SX6NBoVAgQJ6U1MVXOaj8PK2l7WJ3RER9xtqwdhxkhw/edit?usp=sharing"",""ประจวบคีรีขันธ์!J390"")"),0.0)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IFERROR(__xludf.DUMMYFUNCTION("IMPORTRANGE(""https://docs.google.com/spreadsheets/d/1SX6NBoVAgQJ6U1MVXOaj8PK2l7WJ3RER9xtqwdhxkhw/edit?usp=sharing"",""ประจวบคีรีขันธ์!I391"")"),0.0)</f>
        <v>0</v>
      </c>
      <c r="J496" s="469">
        <f>IFERROR(__xludf.DUMMYFUNCTION("IMPORTRANGE(""https://docs.google.com/spreadsheets/d/1SX6NBoVAgQJ6U1MVXOaj8PK2l7WJ3RER9xtqwdhxkhw/edit?usp=sharing"",""ประจวบคีรีขันธ์!J391"")"),0.0)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IFERROR(__xludf.DUMMYFUNCTION("IMPORTRANGE(""https://docs.google.com/spreadsheets/d/1SX6NBoVAgQJ6U1MVXOaj8PK2l7WJ3RER9xtqwdhxkhw/edit?usp=sharing"",""ประจวบคีรีขันธ์!I392"")"),0.0)</f>
        <v>0</v>
      </c>
      <c r="J497" s="476">
        <f>IFERROR(__xludf.DUMMYFUNCTION("IMPORTRANGE(""https://docs.google.com/spreadsheets/d/1SX6NBoVAgQJ6U1MVXOaj8PK2l7WJ3RER9xtqwdhxkhw/edit?usp=sharing"",""ประจวบคีรีขันธ์!J392"")"),0.0)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IFERROR(__xludf.DUMMYFUNCTION("IMPORTRANGE(""https://docs.google.com/spreadsheets/d/1SX6NBoVAgQJ6U1MVXOaj8PK2l7WJ3RER9xtqwdhxkhw/edit?usp=sharing"",""ประจวบคีรีขันธ์!I393"")"),0.0)</f>
        <v>0</v>
      </c>
      <c r="J498" s="453">
        <f>IFERROR(__xludf.DUMMYFUNCTION("IMPORTRANGE(""https://docs.google.com/spreadsheets/d/1SX6NBoVAgQJ6U1MVXOaj8PK2l7WJ3RER9xtqwdhxkhw/edit?usp=sharing"",""ประจวบคีรีขันธ์!J393"")"),0.0)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IFERROR(__xludf.DUMMYFUNCTION("IMPORTRANGE(""https://docs.google.com/spreadsheets/d/1SX6NBoVAgQJ6U1MVXOaj8PK2l7WJ3RER9xtqwdhxkhw/edit?usp=sharing"",""ประจวบคีรีขันธ์!I394"")"),0.0)</f>
        <v>0</v>
      </c>
      <c r="J499" s="453">
        <f>IFERROR(__xludf.DUMMYFUNCTION("IMPORTRANGE(""https://docs.google.com/spreadsheets/d/1SX6NBoVAgQJ6U1MVXOaj8PK2l7WJ3RER9xtqwdhxkhw/edit?usp=sharing"",""ประจวบคีรีขันธ์!J394"")"),0.0)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IFERROR(__xludf.DUMMYFUNCTION("IMPORTRANGE(""https://docs.google.com/spreadsheets/d/1SX6NBoVAgQJ6U1MVXOaj8PK2l7WJ3RER9xtqwdhxkhw/edit?usp=sharing"",""ประจวบคีรีขันธ์!I395"")"),0.0)</f>
        <v>0</v>
      </c>
      <c r="J500" s="195">
        <f>IFERROR(__xludf.DUMMYFUNCTION("IMPORTRANGE(""https://docs.google.com/spreadsheets/d/1SX6NBoVAgQJ6U1MVXOaj8PK2l7WJ3RER9xtqwdhxkhw/edit?usp=sharing"",""ประจวบคีรีขันธ์!J395"")"),0.0)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IFERROR(__xludf.DUMMYFUNCTION("IMPORTRANGE(""https://docs.google.com/spreadsheets/d/1SX6NBoVAgQJ6U1MVXOaj8PK2l7WJ3RER9xtqwdhxkhw/edit?usp=sharing"",""ประจวบคีรีขันธ์!I396"")"),0.0)</f>
        <v>0</v>
      </c>
      <c r="J501" s="195">
        <f>IFERROR(__xludf.DUMMYFUNCTION("IMPORTRANGE(""https://docs.google.com/spreadsheets/d/1SX6NBoVAgQJ6U1MVXOaj8PK2l7WJ3RER9xtqwdhxkhw/edit?usp=sharing"",""ประจวบคีรีขันธ์!J396"")"),0.0)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IFERROR(__xludf.DUMMYFUNCTION("IMPORTRANGE(""https://docs.google.com/spreadsheets/d/1SX6NBoVAgQJ6U1MVXOaj8PK2l7WJ3RER9xtqwdhxkhw/edit?usp=sharing"",""ประจวบคีรีขันธ์!I397"")"),0.0)</f>
        <v>0</v>
      </c>
      <c r="J502" s="223">
        <f>IFERROR(__xludf.DUMMYFUNCTION("IMPORTRANGE(""https://docs.google.com/spreadsheets/d/1SX6NBoVAgQJ6U1MVXOaj8PK2l7WJ3RER9xtqwdhxkhw/edit?usp=sharing"",""ประจวบคีรีขันธ์!J397"")"),0.0)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IFERROR(__xludf.DUMMYFUNCTION("IMPORTRANGE(""https://docs.google.com/spreadsheets/d/1SX6NBoVAgQJ6U1MVXOaj8PK2l7WJ3RER9xtqwdhxkhw/edit?usp=sharing"",""ประจวบคีรีขันธ์!I398"")"),0.0)</f>
        <v>0</v>
      </c>
      <c r="J503" s="232">
        <f>IFERROR(__xludf.DUMMYFUNCTION("IMPORTRANGE(""https://docs.google.com/spreadsheets/d/1SX6NBoVAgQJ6U1MVXOaj8PK2l7WJ3RER9xtqwdhxkhw/edit?usp=sharing"",""ประจวบคีรีขันธ์!J398"")"),0.0)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IFERROR(__xludf.DUMMYFUNCTION("IMPORTRANGE(""https://docs.google.com/spreadsheets/d/1SX6NBoVAgQJ6U1MVXOaj8PK2l7WJ3RER9xtqwdhxkhw/edit?usp=sharing"",""ประจวบคีรีขันธ์!I399"")"),0.0)</f>
        <v>0</v>
      </c>
      <c r="J504" s="223">
        <f>IFERROR(__xludf.DUMMYFUNCTION("IMPORTRANGE(""https://docs.google.com/spreadsheets/d/1SX6NBoVAgQJ6U1MVXOaj8PK2l7WJ3RER9xtqwdhxkhw/edit?usp=sharing"",""ประจวบคีรีขันธ์!J399"")"),0.0)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IFERROR(__xludf.DUMMYFUNCTION("IMPORTRANGE(""https://docs.google.com/spreadsheets/d/1SX6NBoVAgQJ6U1MVXOaj8PK2l7WJ3RER9xtqwdhxkhw/edit?usp=sharing"",""ประจวบคีรีขันธ์!I400"")"),0.0)</f>
        <v>0</v>
      </c>
      <c r="J505" s="232">
        <f>IFERROR(__xludf.DUMMYFUNCTION("IMPORTRANGE(""https://docs.google.com/spreadsheets/d/1SX6NBoVAgQJ6U1MVXOaj8PK2l7WJ3RER9xtqwdhxkhw/edit?usp=sharing"",""ประจวบคีรีขันธ์!J400"")"),0.0)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IFERROR(__xludf.DUMMYFUNCTION("IMPORTRANGE(""https://docs.google.com/spreadsheets/d/1SX6NBoVAgQJ6U1MVXOaj8PK2l7WJ3RER9xtqwdhxkhw/edit?usp=sharing"",""ประจวบคีรีขันธ์!I401"")"),0.0)</f>
        <v>0</v>
      </c>
      <c r="J506" s="223">
        <f>IFERROR(__xludf.DUMMYFUNCTION("IMPORTRANGE(""https://docs.google.com/spreadsheets/d/1SX6NBoVAgQJ6U1MVXOaj8PK2l7WJ3RER9xtqwdhxkhw/edit?usp=sharing"",""ประจวบคีรีขันธ์!J401"")"),0.0)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IFERROR(__xludf.DUMMYFUNCTION("IMPORTRANGE(""https://docs.google.com/spreadsheets/d/1SX6NBoVAgQJ6U1MVXOaj8PK2l7WJ3RER9xtqwdhxkhw/edit?usp=sharing"",""ประจวบคีรีขันธ์!I402"")"),0.0)</f>
        <v>0</v>
      </c>
      <c r="J507" s="232">
        <f>IFERROR(__xludf.DUMMYFUNCTION("IMPORTRANGE(""https://docs.google.com/spreadsheets/d/1SX6NBoVAgQJ6U1MVXOaj8PK2l7WJ3RER9xtqwdhxkhw/edit?usp=sharing"",""ประจวบคีรีขันธ์!J402"")"),0.0)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IFERROR(__xludf.DUMMYFUNCTION("IMPORTRANGE(""https://docs.google.com/spreadsheets/d/1SX6NBoVAgQJ6U1MVXOaj8PK2l7WJ3RER9xtqwdhxkhw/edit?usp=sharing"",""ประจวบคีรีขันธ์!I403"")"),0.0)</f>
        <v>0</v>
      </c>
      <c r="J508" s="195">
        <f>IFERROR(__xludf.DUMMYFUNCTION("IMPORTRANGE(""https://docs.google.com/spreadsheets/d/1SX6NBoVAgQJ6U1MVXOaj8PK2l7WJ3RER9xtqwdhxkhw/edit?usp=sharing"",""ประจวบคีรีขันธ์!J403"")"),0.0)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IFERROR(__xludf.DUMMYFUNCTION("IMPORTRANGE(""https://docs.google.com/spreadsheets/d/1SX6NBoVAgQJ6U1MVXOaj8PK2l7WJ3RER9xtqwdhxkhw/edit?usp=sharing"",""ประจวบคีรีขันธ์!I404"")"),0.0)</f>
        <v>0</v>
      </c>
      <c r="J509" s="195">
        <f>IFERROR(__xludf.DUMMYFUNCTION("IMPORTRANGE(""https://docs.google.com/spreadsheets/d/1SX6NBoVAgQJ6U1MVXOaj8PK2l7WJ3RER9xtqwdhxkhw/edit?usp=sharing"",""ประจวบคีรีขันธ์!J404"")"),0.0)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IFERROR(__xludf.DUMMYFUNCTION("IMPORTRANGE(""https://docs.google.com/spreadsheets/d/1SX6NBoVAgQJ6U1MVXOaj8PK2l7WJ3RER9xtqwdhxkhw/edit?usp=sharing"",""ประจวบคีรีขันธ์!I405"")"),0.0)</f>
        <v>0</v>
      </c>
      <c r="J510" s="232">
        <f>IFERROR(__xludf.DUMMYFUNCTION("IMPORTRANGE(""https://docs.google.com/spreadsheets/d/1SX6NBoVAgQJ6U1MVXOaj8PK2l7WJ3RER9xtqwdhxkhw/edit?usp=sharing"",""ประจวบคีรีขันธ์!J405"")"),0.0)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IFERROR(__xludf.DUMMYFUNCTION("IMPORTRANGE(""https://docs.google.com/spreadsheets/d/1SX6NBoVAgQJ6U1MVXOaj8PK2l7WJ3RER9xtqwdhxkhw/edit?usp=sharing"",""ประจวบคีรีขันธ์!I406"")"),0.0)</f>
        <v>0</v>
      </c>
      <c r="J511" s="232">
        <f>IFERROR(__xludf.DUMMYFUNCTION("IMPORTRANGE(""https://docs.google.com/spreadsheets/d/1SX6NBoVAgQJ6U1MVXOaj8PK2l7WJ3RER9xtqwdhxkhw/edit?usp=sharing"",""ประจวบคีรีขันธ์!J406"")"),0.0)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IFERROR(__xludf.DUMMYFUNCTION("IMPORTRANGE(""https://docs.google.com/spreadsheets/d/1SX6NBoVAgQJ6U1MVXOaj8PK2l7WJ3RER9xtqwdhxkhw/edit?usp=sharing"",""ประจวบคีรีขันธ์!I407"")"),0.0)</f>
        <v>0</v>
      </c>
      <c r="J512" s="232">
        <f>IFERROR(__xludf.DUMMYFUNCTION("IMPORTRANGE(""https://docs.google.com/spreadsheets/d/1SX6NBoVAgQJ6U1MVXOaj8PK2l7WJ3RER9xtqwdhxkhw/edit?usp=sharing"",""ประจวบคีรีขันธ์!J407"")"),0.0)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IFERROR(__xludf.DUMMYFUNCTION("IMPORTRANGE(""https://docs.google.com/spreadsheets/d/1SX6NBoVAgQJ6U1MVXOaj8PK2l7WJ3RER9xtqwdhxkhw/edit?usp=sharing"",""ประจวบคีรีขันธ์!I408"")"),0.0)</f>
        <v>0</v>
      </c>
      <c r="J513" s="232">
        <f>IFERROR(__xludf.DUMMYFUNCTION("IMPORTRANGE(""https://docs.google.com/spreadsheets/d/1SX6NBoVAgQJ6U1MVXOaj8PK2l7WJ3RER9xtqwdhxkhw/edit?usp=sharing"",""ประจวบคีรีขันธ์!J408"")"),0.0)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IFERROR(__xludf.DUMMYFUNCTION("IMPORTRANGE(""https://docs.google.com/spreadsheets/d/1SX6NBoVAgQJ6U1MVXOaj8PK2l7WJ3RER9xtqwdhxkhw/edit?usp=sharing"",""ประจวบคีรีขันธ์!I409"")"),0.0)</f>
        <v>0</v>
      </c>
      <c r="J514" s="232">
        <f>IFERROR(__xludf.DUMMYFUNCTION("IMPORTRANGE(""https://docs.google.com/spreadsheets/d/1SX6NBoVAgQJ6U1MVXOaj8PK2l7WJ3RER9xtqwdhxkhw/edit?usp=sharing"",""ประจวบคีรีขันธ์!J409"")"),0.0)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IFERROR(__xludf.DUMMYFUNCTION("IMPORTRANGE(""https://docs.google.com/spreadsheets/d/1SX6NBoVAgQJ6U1MVXOaj8PK2l7WJ3RER9xtqwdhxkhw/edit?usp=sharing"",""ประจวบคีรีขันธ์!I410"")"),0.0)</f>
        <v>0</v>
      </c>
      <c r="J515" s="232">
        <f>IFERROR(__xludf.DUMMYFUNCTION("IMPORTRANGE(""https://docs.google.com/spreadsheets/d/1SX6NBoVAgQJ6U1MVXOaj8PK2l7WJ3RER9xtqwdhxkhw/edit?usp=sharing"",""ประจวบคีรีขันธ์!J410"")"),0.0)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IFERROR(__xludf.DUMMYFUNCTION("IMPORTRANGE(""https://docs.google.com/spreadsheets/d/1SX6NBoVAgQJ6U1MVXOaj8PK2l7WJ3RER9xtqwdhxkhw/edit?usp=sharing"",""ประจวบคีรีขันธ์!I411"")"),0.0)</f>
        <v>0</v>
      </c>
      <c r="J516" s="301">
        <f>IFERROR(__xludf.DUMMYFUNCTION("IMPORTRANGE(""https://docs.google.com/spreadsheets/d/1SX6NBoVAgQJ6U1MVXOaj8PK2l7WJ3RER9xtqwdhxkhw/edit?usp=sharing"",""ประจวบคีรีขันธ์!J411"")"),0.0)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IFERROR(__xludf.DUMMYFUNCTION("IMPORTRANGE(""https://docs.google.com/spreadsheets/d/1SX6NBoVAgQJ6U1MVXOaj8PK2l7WJ3RER9xtqwdhxkhw/edit?usp=sharing"",""ประจวบคีรีขันธ์!I412"")"),0.0)</f>
        <v>0</v>
      </c>
      <c r="J517" s="317">
        <f>IFERROR(__xludf.DUMMYFUNCTION("IMPORTRANGE(""https://docs.google.com/spreadsheets/d/1SX6NBoVAgQJ6U1MVXOaj8PK2l7WJ3RER9xtqwdhxkhw/edit?usp=sharing"",""ประจวบคีรีขันธ์!J412"")"),0.0)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IFERROR(__xludf.DUMMYFUNCTION("IMPORTRANGE(""https://docs.google.com/spreadsheets/d/1SX6NBoVAgQJ6U1MVXOaj8PK2l7WJ3RER9xtqwdhxkhw/edit?usp=sharing"",""ประจวบคีรีขันธ์!I413"")"),0.0)</f>
        <v>0</v>
      </c>
      <c r="J518" s="317">
        <f>IFERROR(__xludf.DUMMYFUNCTION("IMPORTRANGE(""https://docs.google.com/spreadsheets/d/1SX6NBoVAgQJ6U1MVXOaj8PK2l7WJ3RER9xtqwdhxkhw/edit?usp=sharing"",""ประจวบคีรีขันธ์!J413"")"),0.0)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IFERROR(__xludf.DUMMYFUNCTION("IMPORTRANGE(""https://docs.google.com/spreadsheets/d/1SX6NBoVAgQJ6U1MVXOaj8PK2l7WJ3RER9xtqwdhxkhw/edit?usp=sharing"",""ประจวบคีรีขันธ์!I414"")"),0.0)</f>
        <v>0</v>
      </c>
      <c r="J519" s="222">
        <f>IFERROR(__xludf.DUMMYFUNCTION("IMPORTRANGE(""https://docs.google.com/spreadsheets/d/1SX6NBoVAgQJ6U1MVXOaj8PK2l7WJ3RER9xtqwdhxkhw/edit?usp=sharing"",""ประจวบคีรีขันธ์!J414"")"),0.0)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IFERROR(__xludf.DUMMYFUNCTION("IMPORTRANGE(""https://docs.google.com/spreadsheets/d/1SX6NBoVAgQJ6U1MVXOaj8PK2l7WJ3RER9xtqwdhxkhw/edit?usp=sharing"",""ประจวบคีรีขันธ์!I415"")"),0.0)</f>
        <v>0</v>
      </c>
      <c r="J520" s="222">
        <f>IFERROR(__xludf.DUMMYFUNCTION("IMPORTRANGE(""https://docs.google.com/spreadsheets/d/1SX6NBoVAgQJ6U1MVXOaj8PK2l7WJ3RER9xtqwdhxkhw/edit?usp=sharing"",""ประจวบคีรีขันธ์!J415"")"),0.0)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IFERROR(__xludf.DUMMYFUNCTION("IMPORTRANGE(""https://docs.google.com/spreadsheets/d/1SX6NBoVAgQJ6U1MVXOaj8PK2l7WJ3RER9xtqwdhxkhw/edit?usp=sharing"",""ประจวบคีรีขันธ์!I416"")"),0.0)</f>
        <v>0</v>
      </c>
      <c r="J521" s="222">
        <f>IFERROR(__xludf.DUMMYFUNCTION("IMPORTRANGE(""https://docs.google.com/spreadsheets/d/1SX6NBoVAgQJ6U1MVXOaj8PK2l7WJ3RER9xtqwdhxkhw/edit?usp=sharing"",""ประจวบคีรีขันธ์!J416"")"),0.0)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IFERROR(__xludf.DUMMYFUNCTION("IMPORTRANGE(""https://docs.google.com/spreadsheets/d/1SX6NBoVAgQJ6U1MVXOaj8PK2l7WJ3RER9xtqwdhxkhw/edit?usp=sharing"",""ประจวบคีรีขันธ์!I417"")"),0.0)</f>
        <v>0</v>
      </c>
      <c r="J522" s="222">
        <f>IFERROR(__xludf.DUMMYFUNCTION("IMPORTRANGE(""https://docs.google.com/spreadsheets/d/1SX6NBoVAgQJ6U1MVXOaj8PK2l7WJ3RER9xtqwdhxkhw/edit?usp=sharing"",""ประจวบคีรีขันธ์!J417"")"),0.0)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IFERROR(__xludf.DUMMYFUNCTION("IMPORTRANGE(""https://docs.google.com/spreadsheets/d/1SX6NBoVAgQJ6U1MVXOaj8PK2l7WJ3RER9xtqwdhxkhw/edit?usp=sharing"",""ประจวบคีรีขันธ์!I418"")"),0.0)</f>
        <v>0</v>
      </c>
      <c r="J523" s="222">
        <f>IFERROR(__xludf.DUMMYFUNCTION("IMPORTRANGE(""https://docs.google.com/spreadsheets/d/1SX6NBoVAgQJ6U1MVXOaj8PK2l7WJ3RER9xtqwdhxkhw/edit?usp=sharing"",""ประจวบคีรีขันธ์!J418"")"),49.0)</f>
        <v>49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IFERROR(__xludf.DUMMYFUNCTION("IMPORTRANGE(""https://docs.google.com/spreadsheets/d/1SX6NBoVAgQJ6U1MVXOaj8PK2l7WJ3RER9xtqwdhxkhw/edit?usp=sharing"",""ประจวบคีรีขันธ์!I419"")"),0.0)</f>
        <v>0</v>
      </c>
      <c r="J524" s="222">
        <f>IFERROR(__xludf.DUMMYFUNCTION("IMPORTRANGE(""https://docs.google.com/spreadsheets/d/1SX6NBoVAgQJ6U1MVXOaj8PK2l7WJ3RER9xtqwdhxkhw/edit?usp=sharing"",""ประจวบคีรีขันธ์!J419"")"),4.0)</f>
        <v>4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IFERROR(__xludf.DUMMYFUNCTION("IMPORTRANGE(""https://docs.google.com/spreadsheets/d/1SX6NBoVAgQJ6U1MVXOaj8PK2l7WJ3RER9xtqwdhxkhw/edit?usp=sharing"",""ประจวบคีรีขันธ์!I420"")"),49.0)</f>
        <v>49</v>
      </c>
      <c r="J525" s="317">
        <f>IFERROR(__xludf.DUMMYFUNCTION("IMPORTRANGE(""https://docs.google.com/spreadsheets/d/1SX6NBoVAgQJ6U1MVXOaj8PK2l7WJ3RER9xtqwdhxkhw/edit?usp=sharing"",""ประจวบคีรีขันธ์!J420"")"),0.0)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IFERROR(__xludf.DUMMYFUNCTION("IMPORTRANGE(""https://docs.google.com/spreadsheets/d/1SX6NBoVAgQJ6U1MVXOaj8PK2l7WJ3RER9xtqwdhxkhw/edit?usp=sharing"",""ประจวบคีรีขันธ์!I421"")"),4.0)</f>
        <v>4</v>
      </c>
      <c r="J526" s="317">
        <f>IFERROR(__xludf.DUMMYFUNCTION("IMPORTRANGE(""https://docs.google.com/spreadsheets/d/1SX6NBoVAgQJ6U1MVXOaj8PK2l7WJ3RER9xtqwdhxkhw/edit?usp=sharing"",""ประจวบคีรีขันธ์!J421"")"),0.0)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IFERROR(__xludf.DUMMYFUNCTION("IMPORTRANGE(""https://docs.google.com/spreadsheets/d/1SX6NBoVAgQJ6U1MVXOaj8PK2l7WJ3RER9xtqwdhxkhw/edit?usp=sharing"",""ประจวบคีรีขันธ์!I422"")"),0.0)</f>
        <v>0</v>
      </c>
      <c r="J527" s="232">
        <f>IFERROR(__xludf.DUMMYFUNCTION("IMPORTRANGE(""https://docs.google.com/spreadsheets/d/1SX6NBoVAgQJ6U1MVXOaj8PK2l7WJ3RER9xtqwdhxkhw/edit?usp=sharing"",""ประจวบคีรีขันธ์!J422"")"),0.0)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IFERROR(__xludf.DUMMYFUNCTION("IMPORTRANGE(""https://docs.google.com/spreadsheets/d/1SX6NBoVAgQJ6U1MVXOaj8PK2l7WJ3RER9xtqwdhxkhw/edit?usp=sharing"",""ประจวบคีรีขันธ์!I423"")"),0.0)</f>
        <v>0</v>
      </c>
      <c r="J528" s="232">
        <f>IFERROR(__xludf.DUMMYFUNCTION("IMPORTRANGE(""https://docs.google.com/spreadsheets/d/1SX6NBoVAgQJ6U1MVXOaj8PK2l7WJ3RER9xtqwdhxkhw/edit?usp=sharing"",""ประจวบคีรีขันธ์!J423"")"),0.0)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IFERROR(__xludf.DUMMYFUNCTION("IMPORTRANGE(""https://docs.google.com/spreadsheets/d/1SX6NBoVAgQJ6U1MVXOaj8PK2l7WJ3RER9xtqwdhxkhw/edit?usp=sharing"",""ประจวบคีรีขันธ์!I424"")"),0.0)</f>
        <v>0</v>
      </c>
      <c r="J529" s="232">
        <f>IFERROR(__xludf.DUMMYFUNCTION("IMPORTRANGE(""https://docs.google.com/spreadsheets/d/1SX6NBoVAgQJ6U1MVXOaj8PK2l7WJ3RER9xtqwdhxkhw/edit?usp=sharing"",""ประจวบคีรีขันธ์!J424"")"),0.0)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IFERROR(__xludf.DUMMYFUNCTION("IMPORTRANGE(""https://docs.google.com/spreadsheets/d/1SX6NBoVAgQJ6U1MVXOaj8PK2l7WJ3RER9xtqwdhxkhw/edit?usp=sharing"",""ประจวบคีรีขันธ์!I425"")"),0.0)</f>
        <v>0</v>
      </c>
      <c r="J530" s="232">
        <f>IFERROR(__xludf.DUMMYFUNCTION("IMPORTRANGE(""https://docs.google.com/spreadsheets/d/1SX6NBoVAgQJ6U1MVXOaj8PK2l7WJ3RER9xtqwdhxkhw/edit?usp=sharing"",""ประจวบคีรีขันธ์!J425"")"),0.0)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IFERROR(__xludf.DUMMYFUNCTION("IMPORTRANGE(""https://docs.google.com/spreadsheets/d/1SX6NBoVAgQJ6U1MVXOaj8PK2l7WJ3RER9xtqwdhxkhw/edit?usp=sharing"",""ประจวบคีรีขันธ์!I426"")"),0.0)</f>
        <v>0</v>
      </c>
      <c r="J531" s="232">
        <f>IFERROR(__xludf.DUMMYFUNCTION("IMPORTRANGE(""https://docs.google.com/spreadsheets/d/1SX6NBoVAgQJ6U1MVXOaj8PK2l7WJ3RER9xtqwdhxkhw/edit?usp=sharing"",""ประจวบคีรีขันธ์!J426"")"),0.0)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IFERROR(__xludf.DUMMYFUNCTION("IMPORTRANGE(""https://docs.google.com/spreadsheets/d/1SX6NBoVAgQJ6U1MVXOaj8PK2l7WJ3RER9xtqwdhxkhw/edit?usp=sharing"",""ประจวบคีรีขันธ์!I427"")"),0.0)</f>
        <v>0</v>
      </c>
      <c r="J532" s="499">
        <f>IFERROR(__xludf.DUMMYFUNCTION("IMPORTRANGE(""https://docs.google.com/spreadsheets/d/1SX6NBoVAgQJ6U1MVXOaj8PK2l7WJ3RER9xtqwdhxkhw/edit?usp=sharing"",""ประจวบคีรีขันธ์!J427"")"),0.0)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IFERROR(__xludf.DUMMYFUNCTION("IMPORTRANGE(""https://docs.google.com/spreadsheets/d/1SX6NBoVAgQJ6U1MVXOaj8PK2l7WJ3RER9xtqwdhxkhw/edit?usp=sharing"",""ประจวบคีรีขันธ์!I428"")"),22.0)</f>
        <v>22</v>
      </c>
      <c r="J533" s="443">
        <f>IFERROR(__xludf.DUMMYFUNCTION("IMPORTRANGE(""https://docs.google.com/spreadsheets/d/1SX6NBoVAgQJ6U1MVXOaj8PK2l7WJ3RER9xtqwdhxkhw/edit?usp=sharing"",""ประจวบคีรีขันธ์!J428"")"),22.0)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IFERROR(__xludf.DUMMYFUNCTION("IMPORTRANGE(""https://docs.google.com/spreadsheets/d/1SX6NBoVAgQJ6U1MVXOaj8PK2l7WJ3RER9xtqwdhxkhw/edit?usp=sharing"",""ประจวบคีรีขันธ์!L428"")"),34340.0)</f>
        <v>34340</v>
      </c>
      <c r="M533" s="445"/>
      <c r="N533" s="445">
        <f>IFERROR(__xludf.DUMMYFUNCTION("IMPORTRANGE(""https://docs.google.com/spreadsheets/d/1SX6NBoVAgQJ6U1MVXOaj8PK2l7WJ3RER9xtqwdhxkhw/edit?usp=sharing"",""ประจวบคีรีขันธ์!M428"")"),31910.0)</f>
        <v>31910</v>
      </c>
      <c r="O533" s="445">
        <f t="shared" ref="O533:O537" si="119">+IF(L533&gt;0,N533*100/L533,0)</f>
        <v>92.92370414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IFERROR(__xludf.DUMMYFUNCTION("IMPORTRANGE(""https://docs.google.com/spreadsheets/d/1SX6NBoVAgQJ6U1MVXOaj8PK2l7WJ3RER9xtqwdhxkhw/edit?usp=sharing"",""ประจวบคีรีขันธ์!L429"")"),0.0)</f>
        <v>0</v>
      </c>
      <c r="M534" s="197"/>
      <c r="N534" s="203">
        <f>IFERROR(__xludf.DUMMYFUNCTION("IMPORTRANGE(""https://docs.google.com/spreadsheets/d/1SX6NBoVAgQJ6U1MVXOaj8PK2l7WJ3RER9xtqwdhxkhw/edit?usp=sharing"",""ประจวบคีรีขันธ์!M429"")"),0.0)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IFERROR(__xludf.DUMMYFUNCTION("IMPORTRANGE(""https://docs.google.com/spreadsheets/d/1SX6NBoVAgQJ6U1MVXOaj8PK2l7WJ3RER9xtqwdhxkhw/edit?usp=sharing"",""ประจวบคีรีขันธ์!L430"")"),34340.0)</f>
        <v>34340</v>
      </c>
      <c r="M535" s="198"/>
      <c r="N535" s="203">
        <f>IFERROR(__xludf.DUMMYFUNCTION("IMPORTRANGE(""https://docs.google.com/spreadsheets/d/1SX6NBoVAgQJ6U1MVXOaj8PK2l7WJ3RER9xtqwdhxkhw/edit?usp=sharing"",""ประจวบคีรีขันธ์!M430"")"),31910.0)</f>
        <v>31910</v>
      </c>
      <c r="O535" s="203">
        <f t="shared" si="119"/>
        <v>92.92370414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IFERROR(__xludf.DUMMYFUNCTION("IMPORTRANGE(""https://docs.google.com/spreadsheets/d/1SX6NBoVAgQJ6U1MVXOaj8PK2l7WJ3RER9xtqwdhxkhw/edit?usp=sharing"",""ประจวบคีรีขันธ์!L431"")"),0.0)</f>
        <v>0</v>
      </c>
      <c r="M536" s="203"/>
      <c r="N536" s="203">
        <f>IFERROR(__xludf.DUMMYFUNCTION("IMPORTRANGE(""https://docs.google.com/spreadsheets/d/1SX6NBoVAgQJ6U1MVXOaj8PK2l7WJ3RER9xtqwdhxkhw/edit?usp=sharing"",""ประจวบคีรีขันธ์!M431"")"),0.0)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IFERROR(__xludf.DUMMYFUNCTION("IMPORTRANGE(""https://docs.google.com/spreadsheets/d/1SX6NBoVAgQJ6U1MVXOaj8PK2l7WJ3RER9xtqwdhxkhw/edit?usp=sharing"",""ประจวบคีรีขันธ์!L432"")"),34340.0)</f>
        <v>34340</v>
      </c>
      <c r="M537" s="203"/>
      <c r="N537" s="203">
        <f>IFERROR(__xludf.DUMMYFUNCTION("IMPORTRANGE(""https://docs.google.com/spreadsheets/d/1SX6NBoVAgQJ6U1MVXOaj8PK2l7WJ3RER9xtqwdhxkhw/edit?usp=sharing"",""ประจวบคีรีขันธ์!M432"")"),31910.0)</f>
        <v>31910</v>
      </c>
      <c r="O537" s="203">
        <f t="shared" si="119"/>
        <v>92.92370414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IFERROR(__xludf.DUMMYFUNCTION("IMPORTRANGE(""https://docs.google.com/spreadsheets/d/1SX6NBoVAgQJ6U1MVXOaj8PK2l7WJ3RER9xtqwdhxkhw/edit?usp=sharing"",""ประจวบคีรีขันธ์!M433"")"),18740.0)</f>
        <v>18740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IFERROR(__xludf.DUMMYFUNCTION("IMPORTRANGE(""https://docs.google.com/spreadsheets/d/1SX6NBoVAgQJ6U1MVXOaj8PK2l7WJ3RER9xtqwdhxkhw/edit?usp=sharing"",""ประจวบคีรีขันธ์!M434"")"),0.0)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IFERROR(__xludf.DUMMYFUNCTION("IMPORTRANGE(""https://docs.google.com/spreadsheets/d/1SX6NBoVAgQJ6U1MVXOaj8PK2l7WJ3RER9xtqwdhxkhw/edit?usp=sharing"",""ประจวบคีรีขันธ์!M435"")"),0.0)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IFERROR(__xludf.DUMMYFUNCTION("IMPORTRANGE(""https://docs.google.com/spreadsheets/d/1SX6NBoVAgQJ6U1MVXOaj8PK2l7WJ3RER9xtqwdhxkhw/edit?usp=sharing"",""ประจวบคีรีขันธ์!M436"")"),13170.0)</f>
        <v>13170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IFERROR(__xludf.DUMMYFUNCTION("IMPORTRANGE(""https://docs.google.com/spreadsheets/d/1SX6NBoVAgQJ6U1MVXOaj8PK2l7WJ3RER9xtqwdhxkhw/edit?usp=sharing"",""ประจวบคีรีขันธ์!J438"")"),0.0)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IFERROR(__xludf.DUMMYFUNCTION("IMPORTRANGE(""https://docs.google.com/spreadsheets/d/1SX6NBoVAgQJ6U1MVXOaj8PK2l7WJ3RER9xtqwdhxkhw/edit?usp=sharing"",""ประจวบคีรีขันธ์!J439"")"),0.0)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IFERROR(__xludf.DUMMYFUNCTION("IMPORTRANGE(""https://docs.google.com/spreadsheets/d/1SX6NBoVAgQJ6U1MVXOaj8PK2l7WJ3RER9xtqwdhxkhw/edit?usp=sharing"",""ประจวบคีรีขันธ์!J440"")"),1.0)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IFERROR(__xludf.DUMMYFUNCTION("IMPORTRANGE(""https://docs.google.com/spreadsheets/d/1SX6NBoVAgQJ6U1MVXOaj8PK2l7WJ3RER9xtqwdhxkhw/edit?usp=sharing"",""ประจวบคีรีขันธ์!J441"")"),1.0)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IFERROR(__xludf.DUMMYFUNCTION("IMPORTRANGE(""https://docs.google.com/spreadsheets/d/1SX6NBoVAgQJ6U1MVXOaj8PK2l7WJ3RER9xtqwdhxkhw/edit?usp=sharing"",""ประจวบคีรีขันธ์!I442"")"),22.0)</f>
        <v>22</v>
      </c>
      <c r="J547" s="223">
        <f>IFERROR(__xludf.DUMMYFUNCTION("IMPORTRANGE(""https://docs.google.com/spreadsheets/d/1SX6NBoVAgQJ6U1MVXOaj8PK2l7WJ3RER9xtqwdhxkhw/edit?usp=sharing"",""ประจวบคีรีขันธ์!J442"")"),22.0)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IFERROR(__xludf.DUMMYFUNCTION("IMPORTRANGE(""https://docs.google.com/spreadsheets/d/1SX6NBoVAgQJ6U1MVXOaj8PK2l7WJ3RER9xtqwdhxkhw/edit?usp=sharing"",""ประจวบคีรีขันธ์!J166"")"),0.0)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IFERROR(__xludf.DUMMYFUNCTION("IMPORTRANGE(""https://docs.google.com/spreadsheets/d/1SX6NBoVAgQJ6U1MVXOaj8PK2l7WJ3RER9xtqwdhxkhw/edit?usp=sharing"",""ประจวบคีรีขันธ์!J444"")"),0.0)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IFERROR(__xludf.DUMMYFUNCTION("IMPORTRANGE(""https://docs.google.com/spreadsheets/d/1SX6NBoVAgQJ6U1MVXOaj8PK2l7WJ3RER9xtqwdhxkhw/edit?usp=sharing"",""ประจวบคีรีขันธ์!J445"")"),1.0)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IFERROR(__xludf.DUMMYFUNCTION("IMPORTRANGE(""https://docs.google.com/spreadsheets/d/1SX6NBoVAgQJ6U1MVXOaj8PK2l7WJ3RER9xtqwdhxkhw/edit?usp=sharing"",""ประจวบคีรีขันธ์!I446"")"),0.0)</f>
        <v>0</v>
      </c>
      <c r="J551" s="443">
        <f>IFERROR(__xludf.DUMMYFUNCTION("IMPORTRANGE(""https://docs.google.com/spreadsheets/d/1SX6NBoVAgQJ6U1MVXOaj8PK2l7WJ3RER9xtqwdhxkhw/edit?usp=sharing"",""ประจวบคีรีขันธ์!J446"")"),0.0)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IFERROR(__xludf.DUMMYFUNCTION("IMPORTRANGE(""https://docs.google.com/spreadsheets/d/1SX6NBoVAgQJ6U1MVXOaj8PK2l7WJ3RER9xtqwdhxkhw/edit?usp=sharing"",""ประจวบคีรีขันธ์!L446"")"),0.0)</f>
        <v>0</v>
      </c>
      <c r="M551" s="445"/>
      <c r="N551" s="445">
        <f>IFERROR(__xludf.DUMMYFUNCTION("IMPORTRANGE(""https://docs.google.com/spreadsheets/d/1SX6NBoVAgQJ6U1MVXOaj8PK2l7WJ3RER9xtqwdhxkhw/edit?usp=sharing"",""ประจวบคีรีขันธ์!M446"")"),0.0)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IFERROR(__xludf.DUMMYFUNCTION("IMPORTRANGE(""https://docs.google.com/spreadsheets/d/1SX6NBoVAgQJ6U1MVXOaj8PK2l7WJ3RER9xtqwdhxkhw/edit?usp=sharing"",""ประจวบคีรีขันธ์!L447"")"),0.0)</f>
        <v>0</v>
      </c>
      <c r="M552" s="197"/>
      <c r="N552" s="203">
        <f>IFERROR(__xludf.DUMMYFUNCTION("IMPORTRANGE(""https://docs.google.com/spreadsheets/d/1SX6NBoVAgQJ6U1MVXOaj8PK2l7WJ3RER9xtqwdhxkhw/edit?usp=sharing"",""ประจวบคีรีขันธ์!M447"")"),0.0)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IFERROR(__xludf.DUMMYFUNCTION("IMPORTRANGE(""https://docs.google.com/spreadsheets/d/1SX6NBoVAgQJ6U1MVXOaj8PK2l7WJ3RER9xtqwdhxkhw/edit?usp=sharing"",""ประจวบคีรีขันธ์!L448"")"),0.0)</f>
        <v>0</v>
      </c>
      <c r="M553" s="198"/>
      <c r="N553" s="203">
        <f>IFERROR(__xludf.DUMMYFUNCTION("IMPORTRANGE(""https://docs.google.com/spreadsheets/d/1SX6NBoVAgQJ6U1MVXOaj8PK2l7WJ3RER9xtqwdhxkhw/edit?usp=sharing"",""ประจวบคีรีขันธ์!M448"")"),0.0)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IFERROR(__xludf.DUMMYFUNCTION("IMPORTRANGE(""https://docs.google.com/spreadsheets/d/1SX6NBoVAgQJ6U1MVXOaj8PK2l7WJ3RER9xtqwdhxkhw/edit?usp=sharing"",""ประจวบคีรีขันธ์!L449"")"),0.0)</f>
        <v>0</v>
      </c>
      <c r="M554" s="203"/>
      <c r="N554" s="203">
        <f>IFERROR(__xludf.DUMMYFUNCTION("IMPORTRANGE(""https://docs.google.com/spreadsheets/d/1SX6NBoVAgQJ6U1MVXOaj8PK2l7WJ3RER9xtqwdhxkhw/edit?usp=sharing"",""ประจวบคีรีขันธ์!M449"")"),0.0)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IFERROR(__xludf.DUMMYFUNCTION("IMPORTRANGE(""https://docs.google.com/spreadsheets/d/1SX6NBoVAgQJ6U1MVXOaj8PK2l7WJ3RER9xtqwdhxkhw/edit?usp=sharing"",""ประจวบคีรีขันธ์!L450"")"),0.0)</f>
        <v>0</v>
      </c>
      <c r="M555" s="203"/>
      <c r="N555" s="203">
        <f>IFERROR(__xludf.DUMMYFUNCTION("IMPORTRANGE(""https://docs.google.com/spreadsheets/d/1SX6NBoVAgQJ6U1MVXOaj8PK2l7WJ3RER9xtqwdhxkhw/edit?usp=sharing"",""ประจวบคีรีขันธ์!M450"")"),0.0)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IFERROR(__xludf.DUMMYFUNCTION("IMPORTRANGE(""https://docs.google.com/spreadsheets/d/1SX6NBoVAgQJ6U1MVXOaj8PK2l7WJ3RER9xtqwdhxkhw/edit?usp=sharing"",""ประจวบคีรีขันธ์!M451"")"),0.0)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IFERROR(__xludf.DUMMYFUNCTION("IMPORTRANGE(""https://docs.google.com/spreadsheets/d/1SX6NBoVAgQJ6U1MVXOaj8PK2l7WJ3RER9xtqwdhxkhw/edit?usp=sharing"",""ประจวบคีรีขันธ์!M452"")"),0.0)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IFERROR(__xludf.DUMMYFUNCTION("IMPORTRANGE(""https://docs.google.com/spreadsheets/d/1SX6NBoVAgQJ6U1MVXOaj8PK2l7WJ3RER9xtqwdhxkhw/edit?usp=sharing"",""ประจวบคีรีขันธ์!M453"")"),0.0)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IFERROR(__xludf.DUMMYFUNCTION("IMPORTRANGE(""https://docs.google.com/spreadsheets/d/1SX6NBoVAgQJ6U1MVXOaj8PK2l7WJ3RER9xtqwdhxkhw/edit?usp=sharing"",""ประจวบคีรีขันธ์!M454"")"),0.0)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IFERROR(__xludf.DUMMYFUNCTION("IMPORTRANGE(""https://docs.google.com/spreadsheets/d/1SX6NBoVAgQJ6U1MVXOaj8PK2l7WJ3RER9xtqwdhxkhw/edit?usp=sharing"",""ประจวบคีรีขันธ์!I455"")"),0.0)</f>
        <v>0</v>
      </c>
      <c r="J560" s="195">
        <f>IFERROR(__xludf.DUMMYFUNCTION("IMPORTRANGE(""https://docs.google.com/spreadsheets/d/1SX6NBoVAgQJ6U1MVXOaj8PK2l7WJ3RER9xtqwdhxkhw/edit?usp=sharing"",""ประจวบคีรีขันธ์!J455"")"),0.0)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IFERROR(__xludf.DUMMYFUNCTION("IMPORTRANGE(""https://docs.google.com/spreadsheets/d/1SX6NBoVAgQJ6U1MVXOaj8PK2l7WJ3RER9xtqwdhxkhw/edit?usp=sharing"",""ประจวบคีรีขันธ์!I456"")"),0.0)</f>
        <v>0</v>
      </c>
      <c r="J561" s="238">
        <f>IFERROR(__xludf.DUMMYFUNCTION("IMPORTRANGE(""https://docs.google.com/spreadsheets/d/1SX6NBoVAgQJ6U1MVXOaj8PK2l7WJ3RER9xtqwdhxkhw/edit?usp=sharing"",""ประจวบคีรีขันธ์!J456"")"),0.0)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IFERROR(__xludf.DUMMYFUNCTION("IMPORTRANGE(""https://docs.google.com/spreadsheets/d/1SX6NBoVAgQJ6U1MVXOaj8PK2l7WJ3RER9xtqwdhxkhw/edit?usp=sharing"",""ประจวบคีรีขันธ์!I457"")"),"")</f>
        <v/>
      </c>
      <c r="J562" s="238" t="str">
        <f>IFERROR(__xludf.DUMMYFUNCTION("IMPORTRANGE(""https://docs.google.com/spreadsheets/d/1SX6NBoVAgQJ6U1MVXOaj8PK2l7WJ3RER9xtqwdhxkhw/edit?usp=sharing"",""ประจวบคีรีขันธ์!J457"")"),"")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IFERROR(__xludf.DUMMYFUNCTION("IMPORTRANGE(""https://docs.google.com/spreadsheets/d/1SX6NBoVAgQJ6U1MVXOaj8PK2l7WJ3RER9xtqwdhxkhw/edit?usp=sharing"",""ประจวบคีรีขันธ์!I458"")"),"")</f>
        <v/>
      </c>
      <c r="J563" s="222" t="str">
        <f>IFERROR(__xludf.DUMMYFUNCTION("IMPORTRANGE(""https://docs.google.com/spreadsheets/d/1SX6NBoVAgQJ6U1MVXOaj8PK2l7WJ3RER9xtqwdhxkhw/edit?usp=sharing"",""ประจวบคีรีขันธ์!J458"")"),"")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IFERROR(__xludf.DUMMYFUNCTION("IMPORTRANGE(""https://docs.google.com/spreadsheets/d/1SX6NBoVAgQJ6U1MVXOaj8PK2l7WJ3RER9xtqwdhxkhw/edit?usp=sharing"",""ประจวบคีรีขันธ์!I459"")"),700.0)</f>
        <v>700</v>
      </c>
      <c r="J564" s="404">
        <f>IFERROR(__xludf.DUMMYFUNCTION("IMPORTRANGE(""https://docs.google.com/spreadsheets/d/1SX6NBoVAgQJ6U1MVXOaj8PK2l7WJ3RER9xtqwdhxkhw/edit?usp=sharing"",""ประจวบคีรีขันธ์!J459"")"),0.0)</f>
        <v>0</v>
      </c>
      <c r="K564" s="405">
        <f t="shared" si="122"/>
        <v>0</v>
      </c>
      <c r="L564" s="406">
        <f>IFERROR(__xludf.DUMMYFUNCTION("IMPORTRANGE(""https://docs.google.com/spreadsheets/d/1SX6NBoVAgQJ6U1MVXOaj8PK2l7WJ3RER9xtqwdhxkhw/edit?usp=sharing"",""ประจวบคีรีขันธ์!L459"")"),121520.0)</f>
        <v>121520</v>
      </c>
      <c r="M564" s="406"/>
      <c r="N564" s="406">
        <f>IFERROR(__xludf.DUMMYFUNCTION("IMPORTRANGE(""https://docs.google.com/spreadsheets/d/1SX6NBoVAgQJ6U1MVXOaj8PK2l7WJ3RER9xtqwdhxkhw/edit?usp=sharing"",""ประจวบคีรีขันธ์!M459"")"),20580.68)</f>
        <v>20580.68</v>
      </c>
      <c r="O564" s="406">
        <f t="shared" ref="O564:O568" si="123">+IF(L564&gt;0,N564*100/L564,0)</f>
        <v>16.93604345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IFERROR(__xludf.DUMMYFUNCTION("IMPORTRANGE(""https://docs.google.com/spreadsheets/d/1SX6NBoVAgQJ6U1MVXOaj8PK2l7WJ3RER9xtqwdhxkhw/edit?usp=sharing"",""ประจวบคีรีขันธ์!L460"")"),0.0)</f>
        <v>0</v>
      </c>
      <c r="M565" s="197"/>
      <c r="N565" s="203">
        <f>IFERROR(__xludf.DUMMYFUNCTION("IMPORTRANGE(""https://docs.google.com/spreadsheets/d/1SX6NBoVAgQJ6U1MVXOaj8PK2l7WJ3RER9xtqwdhxkhw/edit?usp=sharing"",""ประจวบคีรีขันธ์!M460"")"),0.0)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IFERROR(__xludf.DUMMYFUNCTION("IMPORTRANGE(""https://docs.google.com/spreadsheets/d/1SX6NBoVAgQJ6U1MVXOaj8PK2l7WJ3RER9xtqwdhxkhw/edit?usp=sharing"",""ประจวบคีรีขันธ์!L461"")"),121520.0)</f>
        <v>121520</v>
      </c>
      <c r="M566" s="198"/>
      <c r="N566" s="203">
        <f>IFERROR(__xludf.DUMMYFUNCTION("IMPORTRANGE(""https://docs.google.com/spreadsheets/d/1SX6NBoVAgQJ6U1MVXOaj8PK2l7WJ3RER9xtqwdhxkhw/edit?usp=sharing"",""ประจวบคีรีขันธ์!M461"")"),20580.68)</f>
        <v>20580.68</v>
      </c>
      <c r="O566" s="203">
        <f t="shared" si="123"/>
        <v>16.93604345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IFERROR(__xludf.DUMMYFUNCTION("IMPORTRANGE(""https://docs.google.com/spreadsheets/d/1SX6NBoVAgQJ6U1MVXOaj8PK2l7WJ3RER9xtqwdhxkhw/edit?usp=sharing"",""ประจวบคีรีขันธ์!L462"")"),0.0)</f>
        <v>0</v>
      </c>
      <c r="M567" s="203"/>
      <c r="N567" s="203">
        <f>IFERROR(__xludf.DUMMYFUNCTION("IMPORTRANGE(""https://docs.google.com/spreadsheets/d/1SX6NBoVAgQJ6U1MVXOaj8PK2l7WJ3RER9xtqwdhxkhw/edit?usp=sharing"",""ประจวบคีรีขันธ์!M462"")"),0.0)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IFERROR(__xludf.DUMMYFUNCTION("IMPORTRANGE(""https://docs.google.com/spreadsheets/d/1SX6NBoVAgQJ6U1MVXOaj8PK2l7WJ3RER9xtqwdhxkhw/edit?usp=sharing"",""ประจวบคีรีขันธ์!L463"")"),121520.0)</f>
        <v>121520</v>
      </c>
      <c r="M568" s="203"/>
      <c r="N568" s="203">
        <f>IFERROR(__xludf.DUMMYFUNCTION("IMPORTRANGE(""https://docs.google.com/spreadsheets/d/1SX6NBoVAgQJ6U1MVXOaj8PK2l7WJ3RER9xtqwdhxkhw/edit?usp=sharing"",""ประจวบคีรีขันธ์!M463"")"),20580.68)</f>
        <v>20580.68</v>
      </c>
      <c r="O568" s="203">
        <f t="shared" si="123"/>
        <v>16.93604345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IFERROR(__xludf.DUMMYFUNCTION("IMPORTRANGE(""https://docs.google.com/spreadsheets/d/1SX6NBoVAgQJ6U1MVXOaj8PK2l7WJ3RER9xtqwdhxkhw/edit?usp=sharing"",""ประจวบคีรีขันธ์!M464"")"),0.0)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IFERROR(__xludf.DUMMYFUNCTION("IMPORTRANGE(""https://docs.google.com/spreadsheets/d/1SX6NBoVAgQJ6U1MVXOaj8PK2l7WJ3RER9xtqwdhxkhw/edit?usp=sharing"",""ประจวบคีรีขันธ์!M465"")"),0.0)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IFERROR(__xludf.DUMMYFUNCTION("IMPORTRANGE(""https://docs.google.com/spreadsheets/d/1SX6NBoVAgQJ6U1MVXOaj8PK2l7WJ3RER9xtqwdhxkhw/edit?usp=sharing"",""ประจวบคีรีขันธ์!M466"")"),20580.68)</f>
        <v>20580.68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IFERROR(__xludf.DUMMYFUNCTION("IMPORTRANGE(""https://docs.google.com/spreadsheets/d/1SX6NBoVAgQJ6U1MVXOaj8PK2l7WJ3RER9xtqwdhxkhw/edit?usp=sharing"",""ประจวบคีรีขันธ์!M467"")"),0.0)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IFERROR(__xludf.DUMMYFUNCTION("IMPORTRANGE(""https://docs.google.com/spreadsheets/d/1SX6NBoVAgQJ6U1MVXOaj8PK2l7WJ3RER9xtqwdhxkhw/edit?usp=sharing"",""ประจวบคีรีขันธ์!I468"")"),700.0)</f>
        <v>700</v>
      </c>
      <c r="J573" s="453">
        <f>IFERROR(__xludf.DUMMYFUNCTION("IMPORTRANGE(""https://docs.google.com/spreadsheets/d/1SX6NBoVAgQJ6U1MVXOaj8PK2l7WJ3RER9xtqwdhxkhw/edit?usp=sharing"",""ประจวบคีรีขันธ์!J468"")"),0.0)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IFERROR(__xludf.DUMMYFUNCTION("IMPORTRANGE(""https://docs.google.com/spreadsheets/d/1SX6NBoVAgQJ6U1MVXOaj8PK2l7WJ3RER9xtqwdhxkhw/edit?usp=sharing"",""ประจวบคีรีขันธ์!I470"")"),0.0)</f>
        <v>0</v>
      </c>
      <c r="J575" s="232">
        <f>IFERROR(__xludf.DUMMYFUNCTION("IMPORTRANGE(""https://docs.google.com/spreadsheets/d/1SX6NBoVAgQJ6U1MVXOaj8PK2l7WJ3RER9xtqwdhxkhw/edit?usp=sharing"",""ประจวบคีรีขันธ์!J470"")"),0.0)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IFERROR(__xludf.DUMMYFUNCTION("IMPORTRANGE(""https://docs.google.com/spreadsheets/d/1SX6NBoVAgQJ6U1MVXOaj8PK2l7WJ3RER9xtqwdhxkhw/edit?usp=sharing"",""ประจวบคีรีขันธ์!I471"")"),0.0)</f>
        <v>0</v>
      </c>
      <c r="J576" s="232">
        <f>IFERROR(__xludf.DUMMYFUNCTION("IMPORTRANGE(""https://docs.google.com/spreadsheets/d/1SX6NBoVAgQJ6U1MVXOaj8PK2l7WJ3RER9xtqwdhxkhw/edit?usp=sharing"",""ประจวบคีรีขันธ์!J471"")"),0.0)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IFERROR(__xludf.DUMMYFUNCTION("IMPORTRANGE(""https://docs.google.com/spreadsheets/d/1SX6NBoVAgQJ6U1MVXOaj8PK2l7WJ3RER9xtqwdhxkhw/edit?usp=sharing"",""ประจวบคีรีขันธ์!I472"")"),0.0)</f>
        <v>0</v>
      </c>
      <c r="J577" s="223">
        <f>IFERROR(__xludf.DUMMYFUNCTION("IMPORTRANGE(""https://docs.google.com/spreadsheets/d/1SX6NBoVAgQJ6U1MVXOaj8PK2l7WJ3RER9xtqwdhxkhw/edit?usp=sharing"",""ประจวบคีรีขันธ์!J472"")"),0.0)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IFERROR(__xludf.DUMMYFUNCTION("IMPORTRANGE(""https://docs.google.com/spreadsheets/d/1SX6NBoVAgQJ6U1MVXOaj8PK2l7WJ3RER9xtqwdhxkhw/edit?usp=sharing"",""ประจวบคีรีขันธ์!I473"")"),0.0)</f>
        <v>0</v>
      </c>
      <c r="J578" s="232">
        <f>IFERROR(__xludf.DUMMYFUNCTION("IMPORTRANGE(""https://docs.google.com/spreadsheets/d/1SX6NBoVAgQJ6U1MVXOaj8PK2l7WJ3RER9xtqwdhxkhw/edit?usp=sharing"",""ประจวบคีรีขันธ์!J473"")"),0.0)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IFERROR(__xludf.DUMMYFUNCTION("IMPORTRANGE(""https://docs.google.com/spreadsheets/d/1SX6NBoVAgQJ6U1MVXOaj8PK2l7WJ3RER9xtqwdhxkhw/edit?usp=sharing"",""ประจวบคีรีขันธ์!I474"")"),0.0)</f>
        <v>0</v>
      </c>
      <c r="J579" s="232">
        <f>IFERROR(__xludf.DUMMYFUNCTION("IMPORTRANGE(""https://docs.google.com/spreadsheets/d/1SX6NBoVAgQJ6U1MVXOaj8PK2l7WJ3RER9xtqwdhxkhw/edit?usp=sharing"",""ประจวบคีรีขันธ์!J474"")"),0.0)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IFERROR(__xludf.DUMMYFUNCTION("IMPORTRANGE(""https://docs.google.com/spreadsheets/d/1SX6NBoVAgQJ6U1MVXOaj8PK2l7WJ3RER9xtqwdhxkhw/edit?usp=sharing"",""ประจวบคีรีขันธ์!I475"")"),0.0)</f>
        <v>0</v>
      </c>
      <c r="J580" s="404">
        <f>IFERROR(__xludf.DUMMYFUNCTION("IMPORTRANGE(""https://docs.google.com/spreadsheets/d/1SX6NBoVAgQJ6U1MVXOaj8PK2l7WJ3RER9xtqwdhxkhw/edit?usp=sharing"",""ประจวบคีรีขันธ์!J475"")"),4.0)</f>
        <v>4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IFERROR(__xludf.DUMMYFUNCTION("IMPORTRANGE(""https://docs.google.com/spreadsheets/d/1SX6NBoVAgQJ6U1MVXOaj8PK2l7WJ3RER9xtqwdhxkhw/edit?usp=sharing"",""ประจวบคีรีขันธ์!L475"")"),0.0)</f>
        <v>0</v>
      </c>
      <c r="M580" s="406"/>
      <c r="N580" s="406">
        <f>IFERROR(__xludf.DUMMYFUNCTION("IMPORTRANGE(""https://docs.google.com/spreadsheets/d/1SX6NBoVAgQJ6U1MVXOaj8PK2l7WJ3RER9xtqwdhxkhw/edit?usp=sharing"",""ประจวบคีรีขันธ์!M475"")"),0.0)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IFERROR(__xludf.DUMMYFUNCTION("IMPORTRANGE(""https://docs.google.com/spreadsheets/d/1SX6NBoVAgQJ6U1MVXOaj8PK2l7WJ3RER9xtqwdhxkhw/edit?usp=sharing"",""ประจวบคีรีขันธ์!L476"")"),0.0)</f>
        <v>0</v>
      </c>
      <c r="M581" s="197"/>
      <c r="N581" s="203">
        <f>IFERROR(__xludf.DUMMYFUNCTION("IMPORTRANGE(""https://docs.google.com/spreadsheets/d/1SX6NBoVAgQJ6U1MVXOaj8PK2l7WJ3RER9xtqwdhxkhw/edit?usp=sharing"",""ประจวบคีรีขันธ์!M476"")"),0.0)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IFERROR(__xludf.DUMMYFUNCTION("IMPORTRANGE(""https://docs.google.com/spreadsheets/d/1SX6NBoVAgQJ6U1MVXOaj8PK2l7WJ3RER9xtqwdhxkhw/edit?usp=sharing"",""ประจวบคีรีขันธ์!L477"")"),0.0)</f>
        <v>0</v>
      </c>
      <c r="M582" s="198"/>
      <c r="N582" s="203">
        <f>IFERROR(__xludf.DUMMYFUNCTION("IMPORTRANGE(""https://docs.google.com/spreadsheets/d/1SX6NBoVAgQJ6U1MVXOaj8PK2l7WJ3RER9xtqwdhxkhw/edit?usp=sharing"",""ประจวบคีรีขันธ์!M477"")"),0.0)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IFERROR(__xludf.DUMMYFUNCTION("IMPORTRANGE(""https://docs.google.com/spreadsheets/d/1SX6NBoVAgQJ6U1MVXOaj8PK2l7WJ3RER9xtqwdhxkhw/edit?usp=sharing"",""ประจวบคีรีขันธ์!L478"")"),0.0)</f>
        <v>0</v>
      </c>
      <c r="M583" s="203"/>
      <c r="N583" s="203">
        <f>IFERROR(__xludf.DUMMYFUNCTION("IMPORTRANGE(""https://docs.google.com/spreadsheets/d/1SX6NBoVAgQJ6U1MVXOaj8PK2l7WJ3RER9xtqwdhxkhw/edit?usp=sharing"",""ประจวบคีรีขันธ์!M478"")"),0.0)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IFERROR(__xludf.DUMMYFUNCTION("IMPORTRANGE(""https://docs.google.com/spreadsheets/d/1SX6NBoVAgQJ6U1MVXOaj8PK2l7WJ3RER9xtqwdhxkhw/edit?usp=sharing"",""ประจวบคีรีขันธ์!L479"")"),0.0)</f>
        <v>0</v>
      </c>
      <c r="M584" s="203"/>
      <c r="N584" s="203">
        <f>IFERROR(__xludf.DUMMYFUNCTION("IMPORTRANGE(""https://docs.google.com/spreadsheets/d/1SX6NBoVAgQJ6U1MVXOaj8PK2l7WJ3RER9xtqwdhxkhw/edit?usp=sharing"",""ประจวบคีรีขันธ์!M479"")"),0.0)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IFERROR(__xludf.DUMMYFUNCTION("IMPORTRANGE(""https://docs.google.com/spreadsheets/d/1SX6NBoVAgQJ6U1MVXOaj8PK2l7WJ3RER9xtqwdhxkhw/edit?usp=sharing"",""ประจวบคีรีขันธ์!M480"")"),0.0)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IFERROR(__xludf.DUMMYFUNCTION("IMPORTRANGE(""https://docs.google.com/spreadsheets/d/1SX6NBoVAgQJ6U1MVXOaj8PK2l7WJ3RER9xtqwdhxkhw/edit?usp=sharing"",""ประจวบคีรีขันธ์!M481"")"),0.0)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IFERROR(__xludf.DUMMYFUNCTION("IMPORTRANGE(""https://docs.google.com/spreadsheets/d/1SX6NBoVAgQJ6U1MVXOaj8PK2l7WJ3RER9xtqwdhxkhw/edit?usp=sharing"",""ประจวบคีรีขันธ์!M482"")"),0.0)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IFERROR(__xludf.DUMMYFUNCTION("IMPORTRANGE(""https://docs.google.com/spreadsheets/d/1SX6NBoVAgQJ6U1MVXOaj8PK2l7WJ3RER9xtqwdhxkhw/edit?usp=sharing"",""ประจวบคีรีขันธ์!M483"")"),0.0)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IFERROR(__xludf.DUMMYFUNCTION("IMPORTRANGE(""https://docs.google.com/spreadsheets/d/1SX6NBoVAgQJ6U1MVXOaj8PK2l7WJ3RER9xtqwdhxkhw/edit?usp=sharing"",""ประจวบคีรีขันธ์!I484"")"),0.0)</f>
        <v>0</v>
      </c>
      <c r="J589" s="222">
        <f>IFERROR(__xludf.DUMMYFUNCTION("IMPORTRANGE(""https://docs.google.com/spreadsheets/d/1SX6NBoVAgQJ6U1MVXOaj8PK2l7WJ3RER9xtqwdhxkhw/edit?usp=sharing"",""ประจวบคีรีขันธ์!J484"")"),3.0)</f>
        <v>3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IFERROR(__xludf.DUMMYFUNCTION("IMPORTRANGE(""https://docs.google.com/spreadsheets/d/1SX6NBoVAgQJ6U1MVXOaj8PK2l7WJ3RER9xtqwdhxkhw/edit?usp=sharing"",""ประจวบคีรีขันธ์!I485"")"),0.0)</f>
        <v>0</v>
      </c>
      <c r="J590" s="222">
        <f>IFERROR(__xludf.DUMMYFUNCTION("IMPORTRANGE(""https://docs.google.com/spreadsheets/d/1SX6NBoVAgQJ6U1MVXOaj8PK2l7WJ3RER9xtqwdhxkhw/edit?usp=sharing"",""ประจวบคีรีขันธ์!J485"")"),0.36)</f>
        <v>0.36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IFERROR(__xludf.DUMMYFUNCTION("IMPORTRANGE(""https://docs.google.com/spreadsheets/d/1SX6NBoVAgQJ6U1MVXOaj8PK2l7WJ3RER9xtqwdhxkhw/edit?usp=sharing"",""ประจวบคีรีขันธ์!I486"")"),0.0)</f>
        <v>0</v>
      </c>
      <c r="J591" s="222">
        <f>IFERROR(__xludf.DUMMYFUNCTION("IMPORTRANGE(""https://docs.google.com/spreadsheets/d/1SX6NBoVAgQJ6U1MVXOaj8PK2l7WJ3RER9xtqwdhxkhw/edit?usp=sharing"",""ประจวบคีรีขันธ์!J486"")"),4.0)</f>
        <v>4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IFERROR(__xludf.DUMMYFUNCTION("IMPORTRANGE(""https://docs.google.com/spreadsheets/d/1SX6NBoVAgQJ6U1MVXOaj8PK2l7WJ3RER9xtqwdhxkhw/edit?usp=sharing"",""ประจวบคีรีขันธ์!I487"")"),0.0)</f>
        <v>0</v>
      </c>
      <c r="J592" s="222">
        <f>IFERROR(__xludf.DUMMYFUNCTION("IMPORTRANGE(""https://docs.google.com/spreadsheets/d/1SX6NBoVAgQJ6U1MVXOaj8PK2l7WJ3RER9xtqwdhxkhw/edit?usp=sharing"",""ประจวบคีรีขันธ์!J487"")"),0.65)</f>
        <v>0.65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IFERROR(__xludf.DUMMYFUNCTION("IMPORTRANGE(""https://docs.google.com/spreadsheets/d/1SX6NBoVAgQJ6U1MVXOaj8PK2l7WJ3RER9xtqwdhxkhw/edit?usp=sharing"",""ประจวบคีรีขันธ์!I488"")"),0.0)</f>
        <v>0</v>
      </c>
      <c r="J593" s="222">
        <f>IFERROR(__xludf.DUMMYFUNCTION("IMPORTRANGE(""https://docs.google.com/spreadsheets/d/1SX6NBoVAgQJ6U1MVXOaj8PK2l7WJ3RER9xtqwdhxkhw/edit?usp=sharing"",""ประจวบคีรีขันธ์!J488"")"),0.0)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IFERROR(__xludf.DUMMYFUNCTION("IMPORTRANGE(""https://docs.google.com/spreadsheets/d/1SX6NBoVAgQJ6U1MVXOaj8PK2l7WJ3RER9xtqwdhxkhw/edit?usp=sharing"",""ประจวบคีรีขันธ์!I489"")"),0.0)</f>
        <v>0</v>
      </c>
      <c r="J594" s="222">
        <f>IFERROR(__xludf.DUMMYFUNCTION("IMPORTRANGE(""https://docs.google.com/spreadsheets/d/1SX6NBoVAgQJ6U1MVXOaj8PK2l7WJ3RER9xtqwdhxkhw/edit?usp=sharing"",""ประจวบคีรีขันธ์!J489"")"),0.0)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IFERROR(__xludf.DUMMYFUNCTION("IMPORTRANGE(""https://docs.google.com/spreadsheets/d/1SX6NBoVAgQJ6U1MVXOaj8PK2l7WJ3RER9xtqwdhxkhw/edit?usp=sharing"",""ประจวบคีรีขันธ์!I490"")"),0.0)</f>
        <v>0</v>
      </c>
      <c r="J595" s="222">
        <f>IFERROR(__xludf.DUMMYFUNCTION("IMPORTRANGE(""https://docs.google.com/spreadsheets/d/1SX6NBoVAgQJ6U1MVXOaj8PK2l7WJ3RER9xtqwdhxkhw/edit?usp=sharing"",""ประจวบคีรีขันธ์!J490"")"),4.0)</f>
        <v>4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IFERROR(__xludf.DUMMYFUNCTION("IMPORTRANGE(""https://docs.google.com/spreadsheets/d/1SX6NBoVAgQJ6U1MVXOaj8PK2l7WJ3RER9xtqwdhxkhw/edit?usp=sharing"",""ประจวบคีรีขันธ์!I491"")"),0.0)</f>
        <v>0</v>
      </c>
      <c r="J596" s="275">
        <f>IFERROR(__xludf.DUMMYFUNCTION("IMPORTRANGE(""https://docs.google.com/spreadsheets/d/1SX6NBoVAgQJ6U1MVXOaj8PK2l7WJ3RER9xtqwdhxkhw/edit?usp=sharing"",""ประจวบคีรีขันธ์!J491"")"),0.65)</f>
        <v>0.65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IFERROR(__xludf.DUMMYFUNCTION("IMPORTRANGE(""https://docs.google.com/spreadsheets/d/1SX6NBoVAgQJ6U1MVXOaj8PK2l7WJ3RER9xtqwdhxkhw/edit?usp=sharing"",""ประจวบคีรีขันธ์!I492"")"),50.0)</f>
        <v>50</v>
      </c>
      <c r="J597" s="520">
        <f>IFERROR(__xludf.DUMMYFUNCTION("IMPORTRANGE(""https://docs.google.com/spreadsheets/d/1SX6NBoVAgQJ6U1MVXOaj8PK2l7WJ3RER9xtqwdhxkhw/edit?usp=sharing"",""ประจวบคีรีขันธ์!J492"")"),0.0)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IFERROR(__xludf.DUMMYFUNCTION("IMPORTRANGE(""https://docs.google.com/spreadsheets/d/1SX6NBoVAgQJ6U1MVXOaj8PK2l7WJ3RER9xtqwdhxkhw/edit?usp=sharing"",""ประจวบคีรีขันธ์!L492"")"),6950.0)</f>
        <v>6950</v>
      </c>
      <c r="M597" s="445"/>
      <c r="N597" s="445">
        <f>IFERROR(__xludf.DUMMYFUNCTION("IMPORTRANGE(""https://docs.google.com/spreadsheets/d/1SX6NBoVAgQJ6U1MVXOaj8PK2l7WJ3RER9xtqwdhxkhw/edit?usp=sharing"",""ประจวบคีรีขันธ์!M492"")"),2930.0)</f>
        <v>2930</v>
      </c>
      <c r="O597" s="445">
        <f t="shared" ref="O597:O601" si="127">+IF(L597&gt;0,N597*100/L597,0)</f>
        <v>42.15827338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IFERROR(__xludf.DUMMYFUNCTION("IMPORTRANGE(""https://docs.google.com/spreadsheets/d/1SX6NBoVAgQJ6U1MVXOaj8PK2l7WJ3RER9xtqwdhxkhw/edit?usp=sharing"",""ประจวบคีรีขันธ์!L493"")"),0.0)</f>
        <v>0</v>
      </c>
      <c r="M598" s="197"/>
      <c r="N598" s="203">
        <f>IFERROR(__xludf.DUMMYFUNCTION("IMPORTRANGE(""https://docs.google.com/spreadsheets/d/1SX6NBoVAgQJ6U1MVXOaj8PK2l7WJ3RER9xtqwdhxkhw/edit?usp=sharing"",""ประจวบคีรีขันธ์!M493"")"),0.0)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IFERROR(__xludf.DUMMYFUNCTION("IMPORTRANGE(""https://docs.google.com/spreadsheets/d/1SX6NBoVAgQJ6U1MVXOaj8PK2l7WJ3RER9xtqwdhxkhw/edit?usp=sharing"",""ประจวบคีรีขันธ์!L494"")"),6950.0)</f>
        <v>6950</v>
      </c>
      <c r="M599" s="198"/>
      <c r="N599" s="203">
        <f>IFERROR(__xludf.DUMMYFUNCTION("IMPORTRANGE(""https://docs.google.com/spreadsheets/d/1SX6NBoVAgQJ6U1MVXOaj8PK2l7WJ3RER9xtqwdhxkhw/edit?usp=sharing"",""ประจวบคีรีขันธ์!M494"")"),2930.0)</f>
        <v>2930</v>
      </c>
      <c r="O599" s="203">
        <f t="shared" si="127"/>
        <v>42.15827338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IFERROR(__xludf.DUMMYFUNCTION("IMPORTRANGE(""https://docs.google.com/spreadsheets/d/1SX6NBoVAgQJ6U1MVXOaj8PK2l7WJ3RER9xtqwdhxkhw/edit?usp=sharing"",""ประจวบคีรีขันธ์!L495"")"),0.0)</f>
        <v>0</v>
      </c>
      <c r="M600" s="203"/>
      <c r="N600" s="203">
        <f>IFERROR(__xludf.DUMMYFUNCTION("IMPORTRANGE(""https://docs.google.com/spreadsheets/d/1SX6NBoVAgQJ6U1MVXOaj8PK2l7WJ3RER9xtqwdhxkhw/edit?usp=sharing"",""ประจวบคีรีขันธ์!M495"")"),0.0)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IFERROR(__xludf.DUMMYFUNCTION("IMPORTRANGE(""https://docs.google.com/spreadsheets/d/1SX6NBoVAgQJ6U1MVXOaj8PK2l7WJ3RER9xtqwdhxkhw/edit?usp=sharing"",""ประจวบคีรีขันธ์!L496"")"),6950.0)</f>
        <v>6950</v>
      </c>
      <c r="M601" s="203"/>
      <c r="N601" s="203">
        <f>IFERROR(__xludf.DUMMYFUNCTION("IMPORTRANGE(""https://docs.google.com/spreadsheets/d/1SX6NBoVAgQJ6U1MVXOaj8PK2l7WJ3RER9xtqwdhxkhw/edit?usp=sharing"",""ประจวบคีรีขันธ์!M496"")"),2930.0)</f>
        <v>2930</v>
      </c>
      <c r="O601" s="203">
        <f t="shared" si="127"/>
        <v>42.15827338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IFERROR(__xludf.DUMMYFUNCTION("IMPORTRANGE(""https://docs.google.com/spreadsheets/d/1SX6NBoVAgQJ6U1MVXOaj8PK2l7WJ3RER9xtqwdhxkhw/edit?usp=sharing"",""ประจวบคีรีขันธ์!M497"")"),0.0)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IFERROR(__xludf.DUMMYFUNCTION("IMPORTRANGE(""https://docs.google.com/spreadsheets/d/1SX6NBoVAgQJ6U1MVXOaj8PK2l7WJ3RER9xtqwdhxkhw/edit?usp=sharing"",""ประจวบคีรีขันธ์!M498"")"),0.0)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IFERROR(__xludf.DUMMYFUNCTION("IMPORTRANGE(""https://docs.google.com/spreadsheets/d/1SX6NBoVAgQJ6U1MVXOaj8PK2l7WJ3RER9xtqwdhxkhw/edit?usp=sharing"",""ประจวบคีรีขันธ์!M499"")"),0.0)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IFERROR(__xludf.DUMMYFUNCTION("IMPORTRANGE(""https://docs.google.com/spreadsheets/d/1SX6NBoVAgQJ6U1MVXOaj8PK2l7WJ3RER9xtqwdhxkhw/edit?usp=sharing"",""ประจวบคีรีขันธ์!M500"")"),2930.0)</f>
        <v>2930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IFERROR(__xludf.DUMMYFUNCTION("IMPORTRANGE(""https://docs.google.com/spreadsheets/d/1SX6NBoVAgQJ6U1MVXOaj8PK2l7WJ3RER9xtqwdhxkhw/edit?usp=sharing"",""ประจวบคีรีขันธ์!J502"")"),0.0)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IFERROR(__xludf.DUMMYFUNCTION("IMPORTRANGE(""https://docs.google.com/spreadsheets/d/1SX6NBoVAgQJ6U1MVXOaj8PK2l7WJ3RER9xtqwdhxkhw/edit?usp=sharing"",""ประจวบคีรีขันธ์!J503"")"),0.0)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IFERROR(__xludf.DUMMYFUNCTION("IMPORTRANGE(""https://docs.google.com/spreadsheets/d/1SX6NBoVAgQJ6U1MVXOaj8PK2l7WJ3RER9xtqwdhxkhw/edit?usp=sharing"",""ประจวบคีรีขันธ์!J166"")"),0.0)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IFERROR(__xludf.DUMMYFUNCTION("IMPORTRANGE(""https://docs.google.com/spreadsheets/d/1SX6NBoVAgQJ6U1MVXOaj8PK2l7WJ3RER9xtqwdhxkhw/edit?usp=sharing"",""ประจวบคีรีขันธ์!J166"")"),0.0)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IFERROR(__xludf.DUMMYFUNCTION("IMPORTRANGE(""https://docs.google.com/spreadsheets/d/1SX6NBoVAgQJ6U1MVXOaj8PK2l7WJ3RER9xtqwdhxkhw/edit?usp=sharing"",""ประจวบคีรีขันธ์!I506"")"),50.0)</f>
        <v>50</v>
      </c>
      <c r="J611" s="195">
        <f>IFERROR(__xludf.DUMMYFUNCTION("IMPORTRANGE(""https://docs.google.com/spreadsheets/d/1SX6NBoVAgQJ6U1MVXOaj8PK2l7WJ3RER9xtqwdhxkhw/edit?usp=sharing"",""ประจวบคีรีขันธ์!J506"")"),0.0)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IFERROR(__xludf.DUMMYFUNCTION("IMPORTRANGE(""https://docs.google.com/spreadsheets/d/1SX6NBoVAgQJ6U1MVXOaj8PK2l7WJ3RER9xtqwdhxkhw/edit?usp=sharing"",""ประจวบคีรีขันธ์!I507"")"),0.0)</f>
        <v>0</v>
      </c>
      <c r="J612" s="232">
        <f>IFERROR(__xludf.DUMMYFUNCTION("IMPORTRANGE(""https://docs.google.com/spreadsheets/d/1SX6NBoVAgQJ6U1MVXOaj8PK2l7WJ3RER9xtqwdhxkhw/edit?usp=sharing"",""ประจวบคีรีขันธ์!J507"")"),0.0)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IFERROR(__xludf.DUMMYFUNCTION("IMPORTRANGE(""https://docs.google.com/spreadsheets/d/1SX6NBoVAgQJ6U1MVXOaj8PK2l7WJ3RER9xtqwdhxkhw/edit?usp=sharing"",""ประจวบคีรีขันธ์!I508"")"),0.0)</f>
        <v>0</v>
      </c>
      <c r="J613" s="232">
        <f>IFERROR(__xludf.DUMMYFUNCTION("IMPORTRANGE(""https://docs.google.com/spreadsheets/d/1SX6NBoVAgQJ6U1MVXOaj8PK2l7WJ3RER9xtqwdhxkhw/edit?usp=sharing"",""ประจวบคีรีขันธ์!J508"")"),0.0)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IFERROR(__xludf.DUMMYFUNCTION("IMPORTRANGE(""https://docs.google.com/spreadsheets/d/1SX6NBoVAgQJ6U1MVXOaj8PK2l7WJ3RER9xtqwdhxkhw/edit?usp=sharing"",""ประจวบคีรีขันธ์!I509"")"),0.0)</f>
        <v>0</v>
      </c>
      <c r="J614" s="232">
        <f>IFERROR(__xludf.DUMMYFUNCTION("IMPORTRANGE(""https://docs.google.com/spreadsheets/d/1SX6NBoVAgQJ6U1MVXOaj8PK2l7WJ3RER9xtqwdhxkhw/edit?usp=sharing"",""ประจวบคีรีขันธ์!J509"")"),0.0)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IFERROR(__xludf.DUMMYFUNCTION("IMPORTRANGE(""https://docs.google.com/spreadsheets/d/1SX6NBoVAgQJ6U1MVXOaj8PK2l7WJ3RER9xtqwdhxkhw/edit?usp=sharing"",""ประจวบคีรีขันธ์!I510"")"),0.0)</f>
        <v>0</v>
      </c>
      <c r="J615" s="232">
        <f>IFERROR(__xludf.DUMMYFUNCTION("IMPORTRANGE(""https://docs.google.com/spreadsheets/d/1SX6NBoVAgQJ6U1MVXOaj8PK2l7WJ3RER9xtqwdhxkhw/edit?usp=sharing"",""ประจวบคีรีขันธ์!J510"")"),0.0)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IFERROR(__xludf.DUMMYFUNCTION("IMPORTRANGE(""https://docs.google.com/spreadsheets/d/1SX6NBoVAgQJ6U1MVXOaj8PK2l7WJ3RER9xtqwdhxkhw/edit?usp=sharing"",""ประจวบคีรีขันธ์!I511"")"),0.0)</f>
        <v>0</v>
      </c>
      <c r="J616" s="232">
        <f>IFERROR(__xludf.DUMMYFUNCTION("IMPORTRANGE(""https://docs.google.com/spreadsheets/d/1SX6NBoVAgQJ6U1MVXOaj8PK2l7WJ3RER9xtqwdhxkhw/edit?usp=sharing"",""ประจวบคีรีขันธ์!J511"")"),0.0)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IFERROR(__xludf.DUMMYFUNCTION("IMPORTRANGE(""https://docs.google.com/spreadsheets/d/1SX6NBoVAgQJ6U1MVXOaj8PK2l7WJ3RER9xtqwdhxkhw/edit?usp=sharing"",""ประจวบคีรีขันธ์!I512"")"),0.0)</f>
        <v>0</v>
      </c>
      <c r="J617" s="222">
        <f>IFERROR(__xludf.DUMMYFUNCTION("IMPORTRANGE(""https://docs.google.com/spreadsheets/d/1SX6NBoVAgQJ6U1MVXOaj8PK2l7WJ3RER9xtqwdhxkhw/edit?usp=sharing"",""ประจวบคีรีขันธ์!J512"")"),0.0)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IFERROR(__xludf.DUMMYFUNCTION("IMPORTRANGE(""https://docs.google.com/spreadsheets/d/1SX6NBoVAgQJ6U1MVXOaj8PK2l7WJ3RER9xtqwdhxkhw/edit?usp=sharing"",""ประจวบคีรีขันธ์!I513"")"),0.0)</f>
        <v>0</v>
      </c>
      <c r="J618" s="223">
        <f>IFERROR(__xludf.DUMMYFUNCTION("IMPORTRANGE(""https://docs.google.com/spreadsheets/d/1SX6NBoVAgQJ6U1MVXOaj8PK2l7WJ3RER9xtqwdhxkhw/edit?usp=sharing"",""ประจวบคีรีขันธ์!J513"")"),0.0)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IFERROR(__xludf.DUMMYFUNCTION("IMPORTRANGE(""https://docs.google.com/spreadsheets/d/1SX6NBoVAgQJ6U1MVXOaj8PK2l7WJ3RER9xtqwdhxkhw/edit?usp=sharing"",""ประจวบคีรีขันธ์!I514"")"),0.0)</f>
        <v>0</v>
      </c>
      <c r="J619" s="223">
        <f>IFERROR(__xludf.DUMMYFUNCTION("IMPORTRANGE(""https://docs.google.com/spreadsheets/d/1SX6NBoVAgQJ6U1MVXOaj8PK2l7WJ3RER9xtqwdhxkhw/edit?usp=sharing"",""ประจวบคีรีขันธ์!J514"")"),0.0)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IFERROR(__xludf.DUMMYFUNCTION("IMPORTRANGE(""https://docs.google.com/spreadsheets/d/1SX6NBoVAgQJ6U1MVXOaj8PK2l7WJ3RER9xtqwdhxkhw/edit?usp=sharing"",""ประจวบคีรีขันธ์!I515"")"),0.0)</f>
        <v>0</v>
      </c>
      <c r="J620" s="237">
        <f>IFERROR(__xludf.DUMMYFUNCTION("IMPORTRANGE(""https://docs.google.com/spreadsheets/d/1SX6NBoVAgQJ6U1MVXOaj8PK2l7WJ3RER9xtqwdhxkhw/edit?usp=sharing"",""ประจวบคีรีขันธ์!J515"")"),0.0)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IFERROR(__xludf.DUMMYFUNCTION("IMPORTRANGE(""https://docs.google.com/spreadsheets/d/1SX6NBoVAgQJ6U1MVXOaj8PK2l7WJ3RER9xtqwdhxkhw/edit?usp=sharing"",""ประจวบคีรีขันธ์!I516"")"),0.0)</f>
        <v>0</v>
      </c>
      <c r="J621" s="237">
        <f>IFERROR(__xludf.DUMMYFUNCTION("IMPORTRANGE(""https://docs.google.com/spreadsheets/d/1SX6NBoVAgQJ6U1MVXOaj8PK2l7WJ3RER9xtqwdhxkhw/edit?usp=sharing"",""ประจวบคีรีขันธ์!J516"")"),0.0)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IFERROR(__xludf.DUMMYFUNCTION("IMPORTRANGE(""https://docs.google.com/spreadsheets/d/1SX6NBoVAgQJ6U1MVXOaj8PK2l7WJ3RER9xtqwdhxkhw/edit?usp=sharing"",""ประจวบคีรีขันธ์!I517"")"),0.0)</f>
        <v>0</v>
      </c>
      <c r="J622" s="223">
        <f>IFERROR(__xludf.DUMMYFUNCTION("IMPORTRANGE(""https://docs.google.com/spreadsheets/d/1SX6NBoVAgQJ6U1MVXOaj8PK2l7WJ3RER9xtqwdhxkhw/edit?usp=sharing"",""ประจวบคีรีขันธ์!J517"")"),0.0)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IFERROR(__xludf.DUMMYFUNCTION("IMPORTRANGE(""https://docs.google.com/spreadsheets/d/1SX6NBoVAgQJ6U1MVXOaj8PK2l7WJ3RER9xtqwdhxkhw/edit?usp=sharing"",""ประจวบคีรีขันธ์!I518"")"),0.0)</f>
        <v>0</v>
      </c>
      <c r="J623" s="223">
        <f>IFERROR(__xludf.DUMMYFUNCTION("IMPORTRANGE(""https://docs.google.com/spreadsheets/d/1SX6NBoVAgQJ6U1MVXOaj8PK2l7WJ3RER9xtqwdhxkhw/edit?usp=sharing"",""ประจวบคีรีขันธ์!J518"")"),0.0)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IFERROR(__xludf.DUMMYFUNCTION("IMPORTRANGE(""https://docs.google.com/spreadsheets/d/1SX6NBoVAgQJ6U1MVXOaj8PK2l7WJ3RER9xtqwdhxkhw/edit?usp=sharing"",""ประจวบคีรีขันธ์!I519"")"),0.0)</f>
        <v>0</v>
      </c>
      <c r="J624" s="222">
        <f>IFERROR(__xludf.DUMMYFUNCTION("IMPORTRANGE(""https://docs.google.com/spreadsheets/d/1SX6NBoVAgQJ6U1MVXOaj8PK2l7WJ3RER9xtqwdhxkhw/edit?usp=sharing"",""ประจวบคีรีขันธ์!J519"")"),0.0)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IFERROR(__xludf.DUMMYFUNCTION("IMPORTRANGE(""https://docs.google.com/spreadsheets/d/1SX6NBoVAgQJ6U1MVXOaj8PK2l7WJ3RER9xtqwdhxkhw/edit?usp=sharing"",""ประจวบคีรีขันธ์!I520"")"),0.0)</f>
        <v>0</v>
      </c>
      <c r="J625" s="223">
        <f>IFERROR(__xludf.DUMMYFUNCTION("IMPORTRANGE(""https://docs.google.com/spreadsheets/d/1SX6NBoVAgQJ6U1MVXOaj8PK2l7WJ3RER9xtqwdhxkhw/edit?usp=sharing"",""ประจวบคีรีขันธ์!J520"")"),0.0)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IFERROR(__xludf.DUMMYFUNCTION("IMPORTRANGE(""https://docs.google.com/spreadsheets/d/1SX6NBoVAgQJ6U1MVXOaj8PK2l7WJ3RER9xtqwdhxkhw/edit?usp=sharing"",""ประจวบคีรีขันธ์!I521"")"),0.0)</f>
        <v>0</v>
      </c>
      <c r="J626" s="223">
        <f>IFERROR(__xludf.DUMMYFUNCTION("IMPORTRANGE(""https://docs.google.com/spreadsheets/d/1SX6NBoVAgQJ6U1MVXOaj8PK2l7WJ3RER9xtqwdhxkhw/edit?usp=sharing"",""ประจวบคีรีขันธ์!J521"")"),0.0)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74">
        <f>IFERROR(__xludf.DUMMYFUNCTION("IMPORTRANGE(""https://docs.google.com/spreadsheets/d/1SX6NBoVAgQJ6U1MVXOaj8PK2l7WJ3RER9xtqwdhxkhw/edit?usp=sharing"",""ประจวบคีรีขันธ์!J523"")"),69353.33)</f>
        <v>69353.33</v>
      </c>
      <c r="K628" s="375">
        <f t="shared" ref="K628:K635" si="130">IF(I628&gt;0,J628*100/I628,0)</f>
        <v>3.601286529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IFERROR(__xludf.DUMMYFUNCTION("IMPORTRANGE(""https://docs.google.com/spreadsheets/d/1SX6NBoVAgQJ6U1MVXOaj8PK2l7WJ3RER9xtqwdhxkhw/edit?usp=sharing"",""ประจวบคีรีขันธ์!I524"")"),145.0)</f>
        <v>145</v>
      </c>
      <c r="J629" s="374">
        <f>IFERROR(__xludf.DUMMYFUNCTION("IMPORTRANGE(""https://docs.google.com/spreadsheets/d/1SX6NBoVAgQJ6U1MVXOaj8PK2l7WJ3RER9xtqwdhxkhw/edit?usp=sharing"",""ประจวบคีรีขันธ์!J524"")"),8.0)</f>
        <v>8</v>
      </c>
      <c r="K629" s="375">
        <f t="shared" si="130"/>
        <v>5.517241379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74">
        <f>IFERROR(__xludf.DUMMYFUNCTION("IMPORTRANGE(""https://docs.google.com/spreadsheets/d/1SX6NBoVAgQJ6U1MVXOaj8PK2l7WJ3RER9xtqwdhxkhw/edit?usp=sharing"",""ประจวบคีรีขันธ์!J525"")"),36472.0)</f>
        <v>36472</v>
      </c>
      <c r="K630" s="375">
        <f t="shared" si="130"/>
        <v>11.52515696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IFERROR(__xludf.DUMMYFUNCTION("IMPORTRANGE(""https://docs.google.com/spreadsheets/d/1SX6NBoVAgQJ6U1MVXOaj8PK2l7WJ3RER9xtqwdhxkhw/edit?usp=sharing"",""ประจวบคีรีขันธ์!I526"")"),22.0)</f>
        <v>22</v>
      </c>
      <c r="J631" s="374">
        <f>IFERROR(__xludf.DUMMYFUNCTION("IMPORTRANGE(""https://docs.google.com/spreadsheets/d/1SX6NBoVAgQJ6U1MVXOaj8PK2l7WJ3RER9xtqwdhxkhw/edit?usp=sharing"",""ประจวบคีรีขันธ์!J526"")"),20.0)</f>
        <v>20</v>
      </c>
      <c r="K631" s="375">
        <f t="shared" si="130"/>
        <v>90.90909091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IFERROR(__xludf.DUMMYFUNCTION("IMPORTRANGE(""https://docs.google.com/spreadsheets/d/1SX6NBoVAgQJ6U1MVXOaj8PK2l7WJ3RER9xtqwdhxkhw/edit?usp=sharing"",""ประจวบคีรีขันธ์!I527"")"),231.96)</f>
        <v>231.96</v>
      </c>
      <c r="J632" s="374">
        <f>IFERROR(__xludf.DUMMYFUNCTION("IMPORTRANGE(""https://docs.google.com/spreadsheets/d/1SX6NBoVAgQJ6U1MVXOaj8PK2l7WJ3RER9xtqwdhxkhw/edit?usp=sharing"",""ประจวบคีรีขันธ์!J527"")"),231.96)</f>
        <v>231.96</v>
      </c>
      <c r="K632" s="375">
        <f t="shared" si="130"/>
        <v>100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IFERROR(__xludf.DUMMYFUNCTION("IMPORTRANGE(""https://docs.google.com/spreadsheets/d/1SX6NBoVAgQJ6U1MVXOaj8PK2l7WJ3RER9xtqwdhxkhw/edit?usp=sharing"",""ประจวบคีรีขันธ์!I528"")"),1.0)</f>
        <v>1</v>
      </c>
      <c r="J633" s="374">
        <f>IFERROR(__xludf.DUMMYFUNCTION("IMPORTRANGE(""https://docs.google.com/spreadsheets/d/1SX6NBoVAgQJ6U1MVXOaj8PK2l7WJ3RER9xtqwdhxkhw/edit?usp=sharing"",""ประจวบคีรีขันธ์!J528"")"),1.0)</f>
        <v>1</v>
      </c>
      <c r="K633" s="375">
        <f t="shared" si="130"/>
        <v>100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IFERROR(__xludf.DUMMYFUNCTION("IMPORTRANGE(""https://docs.google.com/spreadsheets/d/1SX6NBoVAgQJ6U1MVXOaj8PK2l7WJ3RER9xtqwdhxkhw/edit?usp=sharing"",""ประจวบคีรีขันธ์!I529"")"),2000000.0)</f>
        <v>2000000</v>
      </c>
      <c r="J634" s="374">
        <f>IFERROR(__xludf.DUMMYFUNCTION("IMPORTRANGE(""https://docs.google.com/spreadsheets/d/1SX6NBoVAgQJ6U1MVXOaj8PK2l7WJ3RER9xtqwdhxkhw/edit?usp=sharing"",""ประจวบคีรีขันธ์!J529"")"),0.0)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IFERROR(__xludf.DUMMYFUNCTION("IMPORTRANGE(""https://docs.google.com/spreadsheets/d/1SX6NBoVAgQJ6U1MVXOaj8PK2l7WJ3RER9xtqwdhxkhw/edit?usp=sharing"",""ประจวบคีรีขันธ์!I530"")"),45.0)</f>
        <v>45</v>
      </c>
      <c r="J635" s="544">
        <f>IFERROR(__xludf.DUMMYFUNCTION("IMPORTRANGE(""https://docs.google.com/spreadsheets/d/1SX6NBoVAgQJ6U1MVXOaj8PK2l7WJ3RER9xtqwdhxkhw/edit?usp=sharing"",""ประจวบคีรีขันธ์!J530"")"),0.0)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259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3219601</v>
      </c>
      <c r="M8" s="41">
        <f t="shared" si="1"/>
        <v>1239635</v>
      </c>
      <c r="N8" s="41">
        <f t="shared" si="1"/>
        <v>714726</v>
      </c>
      <c r="O8" s="40">
        <f t="shared" ref="O8:O16" si="3">IF(L8&gt;0,N8*100/L8,0)</f>
        <v>22.1992104</v>
      </c>
      <c r="P8" s="40">
        <f t="shared" ref="P8:P16" si="4">IF(M8&gt;0,N8*100/M8,0)</f>
        <v>57.65616492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3219601</v>
      </c>
      <c r="M10" s="48">
        <f t="shared" si="5"/>
        <v>1239635</v>
      </c>
      <c r="N10" s="48">
        <f t="shared" si="5"/>
        <v>714726</v>
      </c>
      <c r="O10" s="47">
        <f t="shared" si="3"/>
        <v>22.1992104</v>
      </c>
      <c r="P10" s="47">
        <f t="shared" si="4"/>
        <v>57.65616492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3127201</v>
      </c>
      <c r="M12" s="58">
        <f t="shared" si="7"/>
        <v>1239635</v>
      </c>
      <c r="N12" s="58">
        <f t="shared" si="7"/>
        <v>622326</v>
      </c>
      <c r="O12" s="58">
        <f t="shared" si="3"/>
        <v>19.90041574</v>
      </c>
      <c r="P12" s="58">
        <f t="shared" si="4"/>
        <v>50.20235795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1669000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1458201</v>
      </c>
      <c r="M14" s="58">
        <f t="shared" si="9"/>
        <v>0</v>
      </c>
      <c r="N14" s="58">
        <f t="shared" si="9"/>
        <v>9516</v>
      </c>
      <c r="O14" s="61">
        <f t="shared" si="3"/>
        <v>0.6525849317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92400</v>
      </c>
      <c r="M16" s="58">
        <f t="shared" si="11"/>
        <v>0</v>
      </c>
      <c r="N16" s="58">
        <f t="shared" si="11"/>
        <v>92400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2399775</v>
      </c>
      <c r="M18" s="41">
        <f t="shared" si="12"/>
        <v>1239635</v>
      </c>
      <c r="N18" s="41">
        <f t="shared" si="12"/>
        <v>705210</v>
      </c>
      <c r="O18" s="40">
        <f t="shared" ref="O18:O20" si="14">IF(L18&gt;0,N18*100/L18,0)</f>
        <v>29.38650498</v>
      </c>
      <c r="P18" s="40">
        <f t="shared" ref="P18:P26" si="15">IF(M18&gt;0,N18*100/M18,0)</f>
        <v>56.8885196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2399775</v>
      </c>
      <c r="M20" s="48">
        <f t="shared" si="16"/>
        <v>1239635</v>
      </c>
      <c r="N20" s="48">
        <f t="shared" si="16"/>
        <v>705210</v>
      </c>
      <c r="O20" s="47">
        <f t="shared" si="14"/>
        <v>29.38650498</v>
      </c>
      <c r="P20" s="47">
        <f t="shared" si="15"/>
        <v>56.8885196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2307375</v>
      </c>
      <c r="M22" s="62">
        <f t="shared" si="18"/>
        <v>1239635</v>
      </c>
      <c r="N22" s="61">
        <f t="shared" si="18"/>
        <v>612810</v>
      </c>
      <c r="O22" s="61">
        <f t="shared" si="19"/>
        <v>26.55875183</v>
      </c>
      <c r="P22" s="61">
        <f t="shared" si="15"/>
        <v>49.43471264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1669000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638375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92400</v>
      </c>
      <c r="M26" s="70">
        <f t="shared" si="23"/>
        <v>0</v>
      </c>
      <c r="N26" s="70">
        <f t="shared" si="23"/>
        <v>92400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819826</v>
      </c>
      <c r="M28" s="41">
        <f t="shared" si="24"/>
        <v>0</v>
      </c>
      <c r="N28" s="41">
        <f t="shared" si="24"/>
        <v>9516</v>
      </c>
      <c r="O28" s="40">
        <f t="shared" ref="O28:O30" si="26">IF(L28&gt;0,N28*100/L28,0)</f>
        <v>1.160734107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819826</v>
      </c>
      <c r="M30" s="48">
        <f t="shared" si="28"/>
        <v>0</v>
      </c>
      <c r="N30" s="48">
        <f t="shared" si="28"/>
        <v>9516</v>
      </c>
      <c r="O30" s="47">
        <f t="shared" si="26"/>
        <v>1.160734107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819826</v>
      </c>
      <c r="M32" s="61">
        <f t="shared" si="30"/>
        <v>0</v>
      </c>
      <c r="N32" s="61">
        <f t="shared" si="30"/>
        <v>9516</v>
      </c>
      <c r="O32" s="61">
        <f t="shared" si="31"/>
        <v>1.160734107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819826</v>
      </c>
      <c r="M34" s="61">
        <f t="shared" si="33"/>
        <v>0</v>
      </c>
      <c r="N34" s="61">
        <f t="shared" si="33"/>
        <v>9516</v>
      </c>
      <c r="O34" s="61">
        <f t="shared" si="31"/>
        <v>1.160734107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2399775</v>
      </c>
      <c r="M37" s="75">
        <f t="shared" si="34"/>
        <v>1239635</v>
      </c>
      <c r="N37" s="75">
        <f t="shared" si="34"/>
        <v>705210</v>
      </c>
      <c r="O37" s="76">
        <f t="shared" si="31"/>
        <v>29.38650498</v>
      </c>
      <c r="P37" s="76">
        <f t="shared" si="27"/>
        <v>56.8885196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330800</v>
      </c>
      <c r="M41" s="102">
        <f t="shared" si="35"/>
        <v>170400</v>
      </c>
      <c r="N41" s="102">
        <f t="shared" si="35"/>
        <v>93576</v>
      </c>
      <c r="O41" s="101">
        <f t="shared" ref="O41:O43" si="37">IF(L41&gt;0,N41*100/L41,0)</f>
        <v>28.28778718</v>
      </c>
      <c r="P41" s="101">
        <f t="shared" ref="P41:P43" si="38">IF(M41&gt;0,N41*100/M41,0)</f>
        <v>54.91549296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330800</v>
      </c>
      <c r="M43" s="102">
        <f t="shared" si="39"/>
        <v>170400</v>
      </c>
      <c r="N43" s="102">
        <f t="shared" si="39"/>
        <v>93576</v>
      </c>
      <c r="O43" s="101">
        <f t="shared" si="37"/>
        <v>28.28778718</v>
      </c>
      <c r="P43" s="101">
        <f t="shared" si="38"/>
        <v>54.91549296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330800</v>
      </c>
      <c r="M45" s="70">
        <f>IFERROR(__xludf.DUMMYFUNCTION("IMPORTRANGE(""https://docs.google.com/spreadsheets/d/1Yj_ptqi66GCucihVvJfMjLAmec39IyEx_6qawtMGysU/edit?usp=sharing"",""สบก!Q69"")"),170400.0)</f>
        <v>170400</v>
      </c>
      <c r="N45" s="70">
        <f>IFERROR(__xludf.DUMMYFUNCTION("IMPORTRANGE(""https://docs.google.com/spreadsheets/d/1Yj_ptqi66GCucihVvJfMjLAmec39IyEx_6qawtMGysU/edit?usp=sharing"",""สบก!R69"")"),93576.0)</f>
        <v>93576</v>
      </c>
      <c r="O45" s="61">
        <f>IF(L45&gt;0,N45*100/L45,0)</f>
        <v>28.28778718</v>
      </c>
      <c r="P45" s="61">
        <f>IF(M45&gt;0,N45*100/M45,0)</f>
        <v>54.91549296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IFERROR(__xludf.DUMMYFUNCTION("IMPORTRANGE(""https://docs.google.com/spreadsheets/d/1Yj_ptqi66GCucihVvJfMjLAmec39IyEx_6qawtMGysU/edit?usp=sharing"",""สบก!M69"")"),330800.0)</f>
        <v>330800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IFERROR(__xludf.DUMMYFUNCTION("IMPORTRANGE(""https://docs.google.com/spreadsheets/d/1Yj_ptqi66GCucihVvJfMjLAmec39IyEx_6qawtMGysU/edit?usp=sharing"",""สบก!N69"")"),0.0)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IFERROR(__xludf.DUMMYFUNCTION("IMPORTRANGE(""https://docs.google.com/spreadsheets/d/1Yj_ptqi66GCucihVvJfMjLAmec39IyEx_6qawtMGysU/edit?usp=sharing"",""สบก!O69"")"),0.0)</f>
        <v>0</v>
      </c>
      <c r="M49" s="70"/>
      <c r="N49" s="70">
        <f>IFERROR(__xludf.DUMMYFUNCTION("IMPORTRANGE(""https://docs.google.com/spreadsheets/d/1Yj_ptqi66GCucihVvJfMjLAmec39IyEx_6qawtMGysU/edit?usp=sharing"",""สบก!S69"")"),0.0)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450000</v>
      </c>
      <c r="M53" s="151">
        <f t="shared" si="40"/>
        <v>229500</v>
      </c>
      <c r="N53" s="151">
        <f t="shared" si="40"/>
        <v>111008</v>
      </c>
      <c r="O53" s="150">
        <f t="shared" ref="O53:O55" si="42">IF(L53&gt;0,N53*100/L53,0)</f>
        <v>24.66844444</v>
      </c>
      <c r="P53" s="150">
        <f t="shared" ref="P53:P55" si="43">IF(M53&gt;0,N53*100/M53,0)</f>
        <v>48.36949891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450000</v>
      </c>
      <c r="M55" s="151">
        <f t="shared" si="44"/>
        <v>229500</v>
      </c>
      <c r="N55" s="151">
        <f t="shared" si="44"/>
        <v>111008</v>
      </c>
      <c r="O55" s="150">
        <f t="shared" si="42"/>
        <v>24.66844444</v>
      </c>
      <c r="P55" s="150">
        <f t="shared" si="43"/>
        <v>48.36949891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450000</v>
      </c>
      <c r="M57" s="70">
        <f>IFERROR(__xludf.DUMMYFUNCTION("IMPORTRANGE(""https://docs.google.com/spreadsheets/d/1Yj_ptqi66GCucihVvJfMjLAmec39IyEx_6qawtMGysU/edit?usp=sharing"",""สบก!Z69"")"),229500.0)</f>
        <v>229500</v>
      </c>
      <c r="N57" s="70">
        <f>IFERROR(__xludf.DUMMYFUNCTION("IMPORTRANGE(""https://docs.google.com/spreadsheets/d/1Yj_ptqi66GCucihVvJfMjLAmec39IyEx_6qawtMGysU/edit?usp=sharing"",""สบก!AA69"")"),111008.0)</f>
        <v>111008</v>
      </c>
      <c r="O57" s="61">
        <f>IF(L57&gt;0,N57*100/L57,0)</f>
        <v>24.66844444</v>
      </c>
      <c r="P57" s="61">
        <f>IF(M57&gt;0,N57*100/M57,0)</f>
        <v>48.36949891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IFERROR(__xludf.DUMMYFUNCTION("IMPORTRANGE(""https://docs.google.com/spreadsheets/d/1Yj_ptqi66GCucihVvJfMjLAmec39IyEx_6qawtMGysU/edit?usp=sharing"",""สบก!V69"")"),450000.0)</f>
        <v>450000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IFERROR(__xludf.DUMMYFUNCTION("IMPORTRANGE(""https://docs.google.com/spreadsheets/d/1Yj_ptqi66GCucihVvJfMjLAmec39IyEx_6qawtMGysU/edit?usp=sharing"",""สบก!W69"")"),0.0)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IFERROR(__xludf.DUMMYFUNCTION("IMPORTRANGE(""https://docs.google.com/spreadsheets/d/1Yj_ptqi66GCucihVvJfMjLAmec39IyEx_6qawtMGysU/edit?usp=sharing"",""สบก!X69"")"),0.0)</f>
        <v>0</v>
      </c>
      <c r="M61" s="70"/>
      <c r="N61" s="70">
        <f>IFERROR(__xludf.DUMMYFUNCTION("IMPORTRANGE(""https://docs.google.com/spreadsheets/d/1Yj_ptqi66GCucihVvJfMjLAmec39IyEx_6qawtMGysU/edit?usp=sharing"",""สบก!AB69"")"),0.0)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IFERROR(__xludf.DUMMYFUNCTION("IMPORTRANGE(""https://docs.google.com/spreadsheets/d/1SX6NBoVAgQJ6U1MVXOaj8PK2l7WJ3RER9xtqwdhxkhw/edit?usp=sharing"",""ปราจีนบุรี!I9"")"),0.0)</f>
        <v>0</v>
      </c>
      <c r="J64" s="172">
        <f>IFERROR(__xludf.DUMMYFUNCTION("IMPORTRANGE(""https://docs.google.com/spreadsheets/d/1SX6NBoVAgQJ6U1MVXOaj8PK2l7WJ3RER9xtqwdhxkhw/edit?usp=sharing"",""ปราจีนบุรี!J9"")"),0.0)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IFERROR(__xludf.DUMMYFUNCTION("IMPORTRANGE(""https://docs.google.com/spreadsheets/d/1SX6NBoVAgQJ6U1MVXOaj8PK2l7WJ3RER9xtqwdhxkhw/edit?usp=sharing"",""ปราจีนบุรี!I10"")"),0.0)</f>
        <v>0</v>
      </c>
      <c r="J65" s="172">
        <f>IFERROR(__xludf.DUMMYFUNCTION("IMPORTRANGE(""https://docs.google.com/spreadsheets/d/1SX6NBoVAgQJ6U1MVXOaj8PK2l7WJ3RER9xtqwdhxkhw/edit?usp=sharing"",""ปราจีนบุรี!J10"")"),0.0)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IFERROR(__xludf.DUMMYFUNCTION("IMPORTRANGE(""https://docs.google.com/spreadsheets/d/1Yj_ptqi66GCucihVvJfMjLAmec39IyEx_6qawtMGysU/edit?usp=sharing"",""สบก!AI69"")"),0.0)</f>
        <v>0</v>
      </c>
      <c r="N70" s="203">
        <f>IFERROR(__xludf.DUMMYFUNCTION("IMPORTRANGE(""https://docs.google.com/spreadsheets/d/1Yj_ptqi66GCucihVvJfMjLAmec39IyEx_6qawtMGysU/edit?usp=sharing"",""สบก!AJ69"")"),0.0)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IFERROR(__xludf.DUMMYFUNCTION("IMPORTRANGE(""https://docs.google.com/spreadsheets/d/1Yj_ptqi66GCucihVvJfMjLAmec39IyEx_6qawtMGysU/edit?usp=sharing"",""สบก!AE69"")"),0.0)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IFERROR(__xludf.DUMMYFUNCTION("IMPORTRANGE(""https://docs.google.com/spreadsheets/d/1Yj_ptqi66GCucihVvJfMjLAmec39IyEx_6qawtMGysU/edit?usp=sharing"",""สบก!AF69"")"),0.0)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IFERROR(__xludf.DUMMYFUNCTION("IMPORTRANGE(""https://docs.google.com/spreadsheets/d/1Yj_ptqi66GCucihVvJfMjLAmec39IyEx_6qawtMGysU/edit?usp=sharing"",""สบก!AG69"")"),0.0)</f>
        <v>0</v>
      </c>
      <c r="M74" s="70"/>
      <c r="N74" s="70">
        <f>IFERROR(__xludf.DUMMYFUNCTION("IMPORTRANGE(""https://docs.google.com/spreadsheets/d/1Yj_ptqi66GCucihVvJfMjLAmec39IyEx_6qawtMGysU/edit?usp=sharing"",""สบก!AK69"")"),0.0)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IFERROR(__xludf.DUMMYFUNCTION("IMPORTRANGE(""https://docs.google.com/spreadsheets/d/1SX6NBoVAgQJ6U1MVXOaj8PK2l7WJ3RER9xtqwdhxkhw/edit?usp=sharing"",""ปราจีนบุรี!J16"")"),0.0)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IFERROR(__xludf.DUMMYFUNCTION("IMPORTRANGE(""https://docs.google.com/spreadsheets/d/1SX6NBoVAgQJ6U1MVXOaj8PK2l7WJ3RER9xtqwdhxkhw/edit?usp=sharing"",""ปราจีนบุรี!J17"")"),0.0)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IFERROR(__xludf.DUMMYFUNCTION("IMPORTRANGE(""https://docs.google.com/spreadsheets/d/1SX6NBoVAgQJ6U1MVXOaj8PK2l7WJ3RER9xtqwdhxkhw/edit?usp=sharing"",""ปราจีนบุรี!J18"")"),0.0)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IFERROR(__xludf.DUMMYFUNCTION("IMPORTRANGE(""https://docs.google.com/spreadsheets/d/1SX6NBoVAgQJ6U1MVXOaj8PK2l7WJ3RER9xtqwdhxkhw/edit?usp=sharing"",""ปราจีนบุรี!J19"")"),0.0)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IFERROR(__xludf.DUMMYFUNCTION("IMPORTRANGE(""https://docs.google.com/spreadsheets/d/1SX6NBoVAgQJ6U1MVXOaj8PK2l7WJ3RER9xtqwdhxkhw/edit?usp=sharing"",""ปราจีนบุรี!I20"")"),0.0)</f>
        <v>0</v>
      </c>
      <c r="J80" s="235">
        <f>IFERROR(__xludf.DUMMYFUNCTION("IMPORTRANGE(""https://docs.google.com/spreadsheets/d/1SX6NBoVAgQJ6U1MVXOaj8PK2l7WJ3RER9xtqwdhxkhw/edit?usp=sharing"",""ปราจีนบุรี!J20"")"),0.0)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IFERROR(__xludf.DUMMYFUNCTION("IMPORTRANGE(""https://docs.google.com/spreadsheets/d/1SX6NBoVAgQJ6U1MVXOaj8PK2l7WJ3RER9xtqwdhxkhw/edit?usp=sharing"",""ปราจีนบุรี!I21"")"),0.0)</f>
        <v>0</v>
      </c>
      <c r="J81" s="235">
        <f>IFERROR(__xludf.DUMMYFUNCTION("IMPORTRANGE(""https://docs.google.com/spreadsheets/d/1SX6NBoVAgQJ6U1MVXOaj8PK2l7WJ3RER9xtqwdhxkhw/edit?usp=sharing"",""ปราจีนบุรี!J21"")"),0.0)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IFERROR(__xludf.DUMMYFUNCTION("IMPORTRANGE(""https://docs.google.com/spreadsheets/d/1SX6NBoVAgQJ6U1MVXOaj8PK2l7WJ3RER9xtqwdhxkhw/edit?usp=sharing"",""ปราจีนบุรี!I22"")"),0.0)</f>
        <v>0</v>
      </c>
      <c r="J82" s="238">
        <f>IFERROR(__xludf.DUMMYFUNCTION("IMPORTRANGE(""https://docs.google.com/spreadsheets/d/1SX6NBoVAgQJ6U1MVXOaj8PK2l7WJ3RER9xtqwdhxkhw/edit?usp=sharing"",""ปราจีนบุรี!J22"")"),0.0)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IFERROR(__xludf.DUMMYFUNCTION("IMPORTRANGE(""https://docs.google.com/spreadsheets/d/1SX6NBoVAgQJ6U1MVXOaj8PK2l7WJ3RER9xtqwdhxkhw/edit?usp=sharing"",""ปราจีนบุรี!I23"")"),0.0)</f>
        <v>0</v>
      </c>
      <c r="J83" s="238">
        <f>IFERROR(__xludf.DUMMYFUNCTION("IMPORTRANGE(""https://docs.google.com/spreadsheets/d/1SX6NBoVAgQJ6U1MVXOaj8PK2l7WJ3RER9xtqwdhxkhw/edit?usp=sharing"",""ปราจีนบุรี!J23"")"),0.0)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IFERROR(__xludf.DUMMYFUNCTION("IMPORTRANGE(""https://docs.google.com/spreadsheets/d/1SX6NBoVAgQJ6U1MVXOaj8PK2l7WJ3RER9xtqwdhxkhw/edit?usp=sharing"",""ปราจีนบุรี!I24"")"),0.0)</f>
        <v>0</v>
      </c>
      <c r="J84" s="223">
        <f>IFERROR(__xludf.DUMMYFUNCTION("IMPORTRANGE(""https://docs.google.com/spreadsheets/d/1SX6NBoVAgQJ6U1MVXOaj8PK2l7WJ3RER9xtqwdhxkhw/edit?usp=sharing"",""ปราจีนบุรี!J24"")"),0.0)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IFERROR(__xludf.DUMMYFUNCTION("IMPORTRANGE(""https://docs.google.com/spreadsheets/d/1SX6NBoVAgQJ6U1MVXOaj8PK2l7WJ3RER9xtqwdhxkhw/edit?usp=sharing"",""ปราจีนบุรี!I25"")"),0.0)</f>
        <v>0</v>
      </c>
      <c r="J85" s="223">
        <f>IFERROR(__xludf.DUMMYFUNCTION("IMPORTRANGE(""https://docs.google.com/spreadsheets/d/1SX6NBoVAgQJ6U1MVXOaj8PK2l7WJ3RER9xtqwdhxkhw/edit?usp=sharing"",""ปราจีนบุรี!J25"")"),0.0)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IFERROR(__xludf.DUMMYFUNCTION("IMPORTRANGE(""https://docs.google.com/spreadsheets/d/1SX6NBoVAgQJ6U1MVXOaj8PK2l7WJ3RER9xtqwdhxkhw/edit?usp=sharing"",""ปราจีนบุรี!I26"")"),0.0)</f>
        <v>0</v>
      </c>
      <c r="J86" s="238">
        <f>IFERROR(__xludf.DUMMYFUNCTION("IMPORTRANGE(""https://docs.google.com/spreadsheets/d/1SX6NBoVAgQJ6U1MVXOaj8PK2l7WJ3RER9xtqwdhxkhw/edit?usp=sharing"",""ปราจีนบุรี!J26"")"),0.0)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IFERROR(__xludf.DUMMYFUNCTION("IMPORTRANGE(""https://docs.google.com/spreadsheets/d/1SX6NBoVAgQJ6U1MVXOaj8PK2l7WJ3RER9xtqwdhxkhw/edit?usp=sharing"",""ปราจีนบุรี!I27"")"),0.0)</f>
        <v>0</v>
      </c>
      <c r="J87" s="238">
        <f>IFERROR(__xludf.DUMMYFUNCTION("IMPORTRANGE(""https://docs.google.com/spreadsheets/d/1SX6NBoVAgQJ6U1MVXOaj8PK2l7WJ3RER9xtqwdhxkhw/edit?usp=sharing"",""ปราจีนบุรี!J27"")"),0.0)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IFERROR(__xludf.DUMMYFUNCTION("IMPORTRANGE(""https://docs.google.com/spreadsheets/d/1SX6NBoVAgQJ6U1MVXOaj8PK2l7WJ3RER9xtqwdhxkhw/edit?usp=sharing"",""ปราจีนบุรี!I28"")"),0.0)</f>
        <v>0</v>
      </c>
      <c r="J88" s="238">
        <f>IFERROR(__xludf.DUMMYFUNCTION("IMPORTRANGE(""https://docs.google.com/spreadsheets/d/1SX6NBoVAgQJ6U1MVXOaj8PK2l7WJ3RER9xtqwdhxkhw/edit?usp=sharing"",""ปราจีนบุรี!J28"")"),0.0)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IFERROR(__xludf.DUMMYFUNCTION("IMPORTRANGE(""https://docs.google.com/spreadsheets/d/1SX6NBoVAgQJ6U1MVXOaj8PK2l7WJ3RER9xtqwdhxkhw/edit?usp=sharing"",""ปราจีนบุรี!J29"")"),0.0)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IFERROR(__xludf.DUMMYFUNCTION("IMPORTRANGE(""https://docs.google.com/spreadsheets/d/1SX6NBoVAgQJ6U1MVXOaj8PK2l7WJ3RER9xtqwdhxkhw/edit?usp=sharing"",""ปราจีนบุรี!J30"")"),0.0)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IFERROR(__xludf.DUMMYFUNCTION("IMPORTRANGE(""https://docs.google.com/spreadsheets/d/1SX6NBoVAgQJ6U1MVXOaj8PK2l7WJ3RER9xtqwdhxkhw/edit?usp=sharing"",""ปราจีนบุรี!I32"")"),4.0)</f>
        <v>4</v>
      </c>
      <c r="J92" s="172">
        <f>IFERROR(__xludf.DUMMYFUNCTION("IMPORTRANGE(""https://docs.google.com/spreadsheets/d/1SX6NBoVAgQJ6U1MVXOaj8PK2l7WJ3RER9xtqwdhxkhw/edit?usp=sharing"",""ปราจีนบุรี!J32"")"),0.0)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IFERROR(__xludf.DUMMYFUNCTION("IMPORTRANGE(""https://docs.google.com/spreadsheets/d/1SX6NBoVAgQJ6U1MVXOaj8PK2l7WJ3RER9xtqwdhxkhw/edit?usp=sharing"",""ปราจีนบุรี!I33"")"),1.0)</f>
        <v>1</v>
      </c>
      <c r="J93" s="172">
        <f>IFERROR(__xludf.DUMMYFUNCTION("IMPORTRANGE(""https://docs.google.com/spreadsheets/d/1SX6NBoVAgQJ6U1MVXOaj8PK2l7WJ3RER9xtqwdhxkhw/edit?usp=sharing"",""ปราจีนบุรี!J33"")"),0.0)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97080</v>
      </c>
      <c r="O94" s="182">
        <f t="shared" ref="O94:O96" si="55">IF(L94&gt;0,N94*100/L94,0)</f>
        <v>45.25874126</v>
      </c>
      <c r="P94" s="182">
        <f t="shared" ref="P94:P96" si="56">IF(M94&gt;0,N94*100/M94,0)</f>
        <v>141.2483632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97080</v>
      </c>
      <c r="O96" s="187">
        <f t="shared" si="55"/>
        <v>45.25874126</v>
      </c>
      <c r="P96" s="187">
        <f t="shared" si="56"/>
        <v>141.2483632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0">
        <f>IFERROR(__xludf.DUMMYFUNCTION("IMPORTRANGE(""https://docs.google.com/spreadsheets/d/1Yj_ptqi66GCucihVvJfMjLAmec39IyEx_6qawtMGysU/edit?usp=sharing"",""สบก!AR69"")"),68730.0)</f>
        <v>68730</v>
      </c>
      <c r="N98" s="203">
        <f>IFERROR(__xludf.DUMMYFUNCTION("IMPORTRANGE(""https://docs.google.com/spreadsheets/d/1Yj_ptqi66GCucihVvJfMjLAmec39IyEx_6qawtMGysU/edit?usp=sharing"",""สบก!AS69"")"),4680.0)</f>
        <v>4680</v>
      </c>
      <c r="O98" s="203">
        <f>IF(L98&gt;0,N98*100/L98,0)</f>
        <v>3.832923833</v>
      </c>
      <c r="P98" s="203">
        <f>IF(M98&gt;0,N98*100/M98,0)</f>
        <v>6.809253601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IFERROR(__xludf.DUMMYFUNCTION("IMPORTRANGE(""https://docs.google.com/spreadsheets/d/1Yj_ptqi66GCucihVvJfMjLAmec39IyEx_6qawtMGysU/edit?usp=sharing"",""สบก!AN69"")"),0.0)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IFERROR(__xludf.DUMMYFUNCTION("IMPORTRANGE(""https://docs.google.com/spreadsheets/d/1Yj_ptqi66GCucihVvJfMjLAmec39IyEx_6qawtMGysU/edit?usp=sharing"",""สบก!AO69"")"),122100.0)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IFERROR(__xludf.DUMMYFUNCTION("IMPORTRANGE(""https://docs.google.com/spreadsheets/d/1Yj_ptqi66GCucihVvJfMjLAmec39IyEx_6qawtMGysU/edit?usp=sharing"",""สบก!AP69"")"),92400.0)</f>
        <v>92400</v>
      </c>
      <c r="M102" s="70"/>
      <c r="N102" s="70">
        <f>IFERROR(__xludf.DUMMYFUNCTION("IMPORTRANGE(""https://docs.google.com/spreadsheets/d/1Yj_ptqi66GCucihVvJfMjLAmec39IyEx_6qawtMGysU/edit?usp=sharing"",""สบก!AT69"")"),92400.0)</f>
        <v>92400</v>
      </c>
      <c r="O102" s="70">
        <f>IF(L102&gt;0,N102*100/L102,0)</f>
        <v>100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IFERROR(__xludf.DUMMYFUNCTION("IMPORTRANGE(""https://docs.google.com/spreadsheets/d/1SX6NBoVAgQJ6U1MVXOaj8PK2l7WJ3RER9xtqwdhxkhw/edit?usp=sharing"",""ปราจีนบุรี!J39"")"),1.0)</f>
        <v>1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IFERROR(__xludf.DUMMYFUNCTION("IMPORTRANGE(""https://docs.google.com/spreadsheets/d/1SX6NBoVAgQJ6U1MVXOaj8PK2l7WJ3RER9xtqwdhxkhw/edit?usp=sharing"",""ปราจีนบุรี!J40"")"),0.0)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IFERROR(__xludf.DUMMYFUNCTION("IMPORTRANGE(""https://docs.google.com/spreadsheets/d/1SX6NBoVAgQJ6U1MVXOaj8PK2l7WJ3RER9xtqwdhxkhw/edit?usp=sharing"",""ปราจีนบุรี!J41"")"),0.0)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IFERROR(__xludf.DUMMYFUNCTION("IMPORTRANGE(""https://docs.google.com/spreadsheets/d/1SX6NBoVAgQJ6U1MVXOaj8PK2l7WJ3RER9xtqwdhxkhw/edit?usp=sharing"",""ปราจีนบุรี!J42"")"),0.0)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IFERROR(__xludf.DUMMYFUNCTION("IMPORTRANGE(""https://docs.google.com/spreadsheets/d/1SX6NBoVAgQJ6U1MVXOaj8PK2l7WJ3RER9xtqwdhxkhw/edit?usp=sharing"",""ปราจีนบุรี!I43"")"),1.0)</f>
        <v>1</v>
      </c>
      <c r="J108" s="238">
        <f>IFERROR(__xludf.DUMMYFUNCTION("IMPORTRANGE(""https://docs.google.com/spreadsheets/d/1SX6NBoVAgQJ6U1MVXOaj8PK2l7WJ3RER9xtqwdhxkhw/edit?usp=sharing"",""ปราจีนบุรี!J43"")"),0.0)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IFERROR(__xludf.DUMMYFUNCTION("IMPORTRANGE(""https://docs.google.com/spreadsheets/d/1SX6NBoVAgQJ6U1MVXOaj8PK2l7WJ3RER9xtqwdhxkhw/edit?usp=sharing"",""ปราจีนบุรี!I44"")"),4.0)</f>
        <v>4</v>
      </c>
      <c r="J109" s="238">
        <f>IFERROR(__xludf.DUMMYFUNCTION("IMPORTRANGE(""https://docs.google.com/spreadsheets/d/1SX6NBoVAgQJ6U1MVXOaj8PK2l7WJ3RER9xtqwdhxkhw/edit?usp=sharing"",""ปราจีนบุรี!J44"")"),0.0)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IFERROR(__xludf.DUMMYFUNCTION("IMPORTRANGE(""https://docs.google.com/spreadsheets/d/1SX6NBoVAgQJ6U1MVXOaj8PK2l7WJ3RER9xtqwdhxkhw/edit?usp=sharing"",""ปราจีนบุรี!I45"")"),4.0)</f>
        <v>4</v>
      </c>
      <c r="J110" s="238">
        <f>IFERROR(__xludf.DUMMYFUNCTION("IMPORTRANGE(""https://docs.google.com/spreadsheets/d/1SX6NBoVAgQJ6U1MVXOaj8PK2l7WJ3RER9xtqwdhxkhw/edit?usp=sharing"",""ปราจีนบุรี!J45"")"),0.0)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IFERROR(__xludf.DUMMYFUNCTION("IMPORTRANGE(""https://docs.google.com/spreadsheets/d/1SX6NBoVAgQJ6U1MVXOaj8PK2l7WJ3RER9xtqwdhxkhw/edit?usp=sharing"",""ปราจีนบุรี!I46"")"),4.0)</f>
        <v>4</v>
      </c>
      <c r="J111" s="238">
        <f>IFERROR(__xludf.DUMMYFUNCTION("IMPORTRANGE(""https://docs.google.com/spreadsheets/d/1SX6NBoVAgQJ6U1MVXOaj8PK2l7WJ3RER9xtqwdhxkhw/edit?usp=sharing"",""ปราจีนบุรี!J46"")"),0.0)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IFERROR(__xludf.DUMMYFUNCTION("IMPORTRANGE(""https://docs.google.com/spreadsheets/d/1SX6NBoVAgQJ6U1MVXOaj8PK2l7WJ3RER9xtqwdhxkhw/edit?usp=sharing"",""ปราจีนบุรี!I47"")"),4.0)</f>
        <v>4</v>
      </c>
      <c r="J112" s="238">
        <f>IFERROR(__xludf.DUMMYFUNCTION("IMPORTRANGE(""https://docs.google.com/spreadsheets/d/1SX6NBoVAgQJ6U1MVXOaj8PK2l7WJ3RER9xtqwdhxkhw/edit?usp=sharing"",""ปราจีนบุรี!J47"")"),0.0)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IFERROR(__xludf.DUMMYFUNCTION("IMPORTRANGE(""https://docs.google.com/spreadsheets/d/1SX6NBoVAgQJ6U1MVXOaj8PK2l7WJ3RER9xtqwdhxkhw/edit?usp=sharing"",""ปราจีนบุรี!I48"")"),1.0)</f>
        <v>1</v>
      </c>
      <c r="J113" s="238">
        <f>IFERROR(__xludf.DUMMYFUNCTION("IMPORTRANGE(""https://docs.google.com/spreadsheets/d/1SX6NBoVAgQJ6U1MVXOaj8PK2l7WJ3RER9xtqwdhxkhw/edit?usp=sharing"",""ปราจีนบุรี!J48"")"),0.0)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IFERROR(__xludf.DUMMYFUNCTION("IMPORTRANGE(""https://docs.google.com/spreadsheets/d/1SX6NBoVAgQJ6U1MVXOaj8PK2l7WJ3RER9xtqwdhxkhw/edit?usp=sharing"",""ปราจีนบุรี!J49"")"),0.0)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IFERROR(__xludf.DUMMYFUNCTION("IMPORTRANGE(""https://docs.google.com/spreadsheets/d/1SX6NBoVAgQJ6U1MVXOaj8PK2l7WJ3RER9xtqwdhxkhw/edit?usp=sharing"",""ปราจีนบุรี!J50"")"),0.0)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IFERROR(__xludf.DUMMYFUNCTION("IMPORTRANGE(""https://docs.google.com/spreadsheets/d/1SX6NBoVAgQJ6U1MVXOaj8PK2l7WJ3RER9xtqwdhxkhw/edit?usp=sharing"",""ปราจีนบุรี!I52"")"),0.0)</f>
        <v>0</v>
      </c>
      <c r="J117" s="172">
        <f>IFERROR(__xludf.DUMMYFUNCTION("IMPORTRANGE(""https://docs.google.com/spreadsheets/d/1SX6NBoVAgQJ6U1MVXOaj8PK2l7WJ3RER9xtqwdhxkhw/edit?usp=sharing"",""ปราจีนบุรี!J52"")"),0.0)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IFERROR(__xludf.DUMMYFUNCTION("IMPORTRANGE(""https://docs.google.com/spreadsheets/d/1Yj_ptqi66GCucihVvJfMjLAmec39IyEx_6qawtMGysU/edit?usp=sharing"",""สบก!BA69"")"),0.0)</f>
        <v>0</v>
      </c>
      <c r="N122" s="203">
        <f>IFERROR(__xludf.DUMMYFUNCTION("IMPORTRANGE(""https://docs.google.com/spreadsheets/d/1Yj_ptqi66GCucihVvJfMjLAmec39IyEx_6qawtMGysU/edit?usp=sharing"",""สบก!BB69"")"),0.0)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IFERROR(__xludf.DUMMYFUNCTION("IMPORTRANGE(""https://docs.google.com/spreadsheets/d/1Yj_ptqi66GCucihVvJfMjLAmec39IyEx_6qawtMGysU/edit?usp=sharing"",""สบก!AW69"")"),0.0)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IFERROR(__xludf.DUMMYFUNCTION("IMPORTRANGE(""https://docs.google.com/spreadsheets/d/1Yj_ptqi66GCucihVvJfMjLAmec39IyEx_6qawtMGysU/edit?usp=sharing"",""สบก!AX69"")"),0.0)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IFERROR(__xludf.DUMMYFUNCTION("IMPORTRANGE(""https://docs.google.com/spreadsheets/d/1Yj_ptqi66GCucihVvJfMjLAmec39IyEx_6qawtMGysU/edit?usp=sharing"",""สบก!AY69"")"),0.0)</f>
        <v>0</v>
      </c>
      <c r="M126" s="70"/>
      <c r="N126" s="70">
        <f>IFERROR(__xludf.DUMMYFUNCTION("IMPORTRANGE(""https://docs.google.com/spreadsheets/d/1Yj_ptqi66GCucihVvJfMjLAmec39IyEx_6qawtMGysU/edit?usp=sharing"",""สบก!BC69"")"),0.0)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260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IFERROR(__xludf.DUMMYFUNCTION("IMPORTRANGE(""https://docs.google.com/spreadsheets/d/1SX6NBoVAgQJ6U1MVXOaj8PK2l7WJ3RER9xtqwdhxkhw/edit?usp=sharing"",""ปราจีนบุรี!J58"")"),0.0)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IFERROR(__xludf.DUMMYFUNCTION("IMPORTRANGE(""https://docs.google.com/spreadsheets/d/1SX6NBoVAgQJ6U1MVXOaj8PK2l7WJ3RER9xtqwdhxkhw/edit?usp=sharing"",""ปราจีนบุรี!J59"")"),0.0)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IFERROR(__xludf.DUMMYFUNCTION("IMPORTRANGE(""https://docs.google.com/spreadsheets/d/1SX6NBoVAgQJ6U1MVXOaj8PK2l7WJ3RER9xtqwdhxkhw/edit?usp=sharing"",""ปราจีนบุรี!J60"")"),0.0)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IFERROR(__xludf.DUMMYFUNCTION("IMPORTRANGE(""https://docs.google.com/spreadsheets/d/1SX6NBoVAgQJ6U1MVXOaj8PK2l7WJ3RER9xtqwdhxkhw/edit?usp=sharing"",""ปราจีนบุรี!J61"")"),0.0)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IFERROR(__xludf.DUMMYFUNCTION("IMPORTRANGE(""https://docs.google.com/spreadsheets/d/1SX6NBoVAgQJ6U1MVXOaj8PK2l7WJ3RER9xtqwdhxkhw/edit?usp=sharing"",""ปราจีนบุรี!I62"")"),0.0)</f>
        <v>0</v>
      </c>
      <c r="J132" s="238">
        <f>IFERROR(__xludf.DUMMYFUNCTION("IMPORTRANGE(""https://docs.google.com/spreadsheets/d/1SX6NBoVAgQJ6U1MVXOaj8PK2l7WJ3RER9xtqwdhxkhw/edit?usp=sharing"",""ปราจีนบุรี!J62"")"),0.0)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IFERROR(__xludf.DUMMYFUNCTION("IMPORTRANGE(""https://docs.google.com/spreadsheets/d/1SX6NBoVAgQJ6U1MVXOaj8PK2l7WJ3RER9xtqwdhxkhw/edit?usp=sharing"",""ปราจีนบุรี!I63"")"),0.0)</f>
        <v>0</v>
      </c>
      <c r="J133" s="238">
        <f>IFERROR(__xludf.DUMMYFUNCTION("IMPORTRANGE(""https://docs.google.com/spreadsheets/d/1SX6NBoVAgQJ6U1MVXOaj8PK2l7WJ3RER9xtqwdhxkhw/edit?usp=sharing"",""ปราจีนบุรี!J63"")"),0.0)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IFERROR(__xludf.DUMMYFUNCTION("IMPORTRANGE(""https://docs.google.com/spreadsheets/d/1SX6NBoVAgQJ6U1MVXOaj8PK2l7WJ3RER9xtqwdhxkhw/edit?usp=sharing"",""ปราจีนบุรี!J64"")"),0.0)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IFERROR(__xludf.DUMMYFUNCTION("IMPORTRANGE(""https://docs.google.com/spreadsheets/d/1SX6NBoVAgQJ6U1MVXOaj8PK2l7WJ3RER9xtqwdhxkhw/edit?usp=sharing"",""ปราจีนบุรี!J65"")"),0.0)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IFERROR(__xludf.DUMMYFUNCTION("IMPORTRANGE(""https://docs.google.com/spreadsheets/d/1SX6NBoVAgQJ6U1MVXOaj8PK2l7WJ3RER9xtqwdhxkhw/edit?usp=sharing"",""ปราจีนบุรี!I68"")"),20.0)</f>
        <v>20</v>
      </c>
      <c r="J138" s="301">
        <f>IFERROR(__xludf.DUMMYFUNCTION("IMPORTRANGE(""https://docs.google.com/spreadsheets/d/1SX6NBoVAgQJ6U1MVXOaj8PK2l7WJ3RER9xtqwdhxkhw/edit?usp=sharing"",""ปราจีนบุรี!J68"")"),0.0)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431300</v>
      </c>
      <c r="M140" s="183">
        <f t="shared" si="65"/>
        <v>251050</v>
      </c>
      <c r="N140" s="183">
        <f t="shared" si="65"/>
        <v>124609</v>
      </c>
      <c r="O140" s="182">
        <f t="shared" ref="O140:O142" si="67">IF(L140&gt;0,N140*100/L140,0)</f>
        <v>28.89149084</v>
      </c>
      <c r="P140" s="182">
        <f t="shared" ref="P140:P142" si="68">IF(M140&gt;0,N140*100/M140,0)</f>
        <v>49.63513244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431300</v>
      </c>
      <c r="M142" s="188">
        <f t="shared" si="69"/>
        <v>251050</v>
      </c>
      <c r="N142" s="188">
        <f t="shared" si="69"/>
        <v>124609</v>
      </c>
      <c r="O142" s="187">
        <f t="shared" si="67"/>
        <v>28.89149084</v>
      </c>
      <c r="P142" s="187">
        <f t="shared" si="68"/>
        <v>49.63513244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431300</v>
      </c>
      <c r="M144" s="200">
        <f>IFERROR(__xludf.DUMMYFUNCTION("IMPORTRANGE(""https://docs.google.com/spreadsheets/d/1Yj_ptqi66GCucihVvJfMjLAmec39IyEx_6qawtMGysU/edit?usp=sharing"",""สบก!BJ69"")"),251050.0)</f>
        <v>251050</v>
      </c>
      <c r="N144" s="203">
        <f>IFERROR(__xludf.DUMMYFUNCTION("IMPORTRANGE(""https://docs.google.com/spreadsheets/d/1Yj_ptqi66GCucihVvJfMjLAmec39IyEx_6qawtMGysU/edit?usp=sharing"",""สบก!BK69"")"),124609.0)</f>
        <v>124609</v>
      </c>
      <c r="O144" s="203">
        <f>IF(L144&gt;0,N144*100/L144,0)</f>
        <v>28.89149084</v>
      </c>
      <c r="P144" s="203">
        <f>IF(M144&gt;0,N144*100/M144,0)</f>
        <v>49.63513244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IFERROR(__xludf.DUMMYFUNCTION("IMPORTRANGE(""https://docs.google.com/spreadsheets/d/1Yj_ptqi66GCucihVvJfMjLAmec39IyEx_6qawtMGysU/edit?usp=sharing"",""สบก!BF69"")"),305000.0)</f>
        <v>305000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IFERROR(__xludf.DUMMYFUNCTION("IMPORTRANGE(""https://docs.google.com/spreadsheets/d/1Yj_ptqi66GCucihVvJfMjLAmec39IyEx_6qawtMGysU/edit?usp=sharing"",""สบก!BG69"")"),126300.0)</f>
        <v>126300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IFERROR(__xludf.DUMMYFUNCTION("IMPORTRANGE(""https://docs.google.com/spreadsheets/d/1Yj_ptqi66GCucihVvJfMjLAmec39IyEx_6qawtMGysU/edit?usp=sharing"",""สบก!BH69"")"),0.0)</f>
        <v>0</v>
      </c>
      <c r="M148" s="70"/>
      <c r="N148" s="70">
        <f>IFERROR(__xludf.DUMMYFUNCTION("IMPORTRANGE(""https://docs.google.com/spreadsheets/d/1Yj_ptqi66GCucihVvJfMjLAmec39IyEx_6qawtMGysU/edit?usp=sharing"",""สบก!BL69"")"),0.0)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IFERROR(__xludf.DUMMYFUNCTION("IMPORTRANGE(""https://docs.google.com/spreadsheets/d/1SX6NBoVAgQJ6U1MVXOaj8PK2l7WJ3RER9xtqwdhxkhw/edit?usp=sharing"",""ปราจีนบุรี!I74"")"),4.0)</f>
        <v>4</v>
      </c>
      <c r="J149" s="309">
        <f>IFERROR(__xludf.DUMMYFUNCTION("IMPORTRANGE(""https://docs.google.com/spreadsheets/d/1SX6NBoVAgQJ6U1MVXOaj8PK2l7WJ3RER9xtqwdhxkhw/edit?usp=sharing"",""ปราจีนบุรี!J74"")"),0.0)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IFERROR(__xludf.DUMMYFUNCTION("IMPORTRANGE(""https://docs.google.com/spreadsheets/d/1SX6NBoVAgQJ6U1MVXOaj8PK2l7WJ3RER9xtqwdhxkhw/edit?usp=sharing"",""ปราจีนบุรี!J79"")"),1.0)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IFERROR(__xludf.DUMMYFUNCTION("IMPORTRANGE(""https://docs.google.com/spreadsheets/d/1SX6NBoVAgQJ6U1MVXOaj8PK2l7WJ3RER9xtqwdhxkhw/edit?usp=sharing"",""ปราจีนบุรี!J80"")"),0.0)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IFERROR(__xludf.DUMMYFUNCTION("IMPORTRANGE(""https://docs.google.com/spreadsheets/d/1SX6NBoVAgQJ6U1MVXOaj8PK2l7WJ3RER9xtqwdhxkhw/edit?usp=sharing"",""ปราจีนบุรี!J81"")"),0.0)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IFERROR(__xludf.DUMMYFUNCTION("IMPORTRANGE(""https://docs.google.com/spreadsheets/d/1SX6NBoVAgQJ6U1MVXOaj8PK2l7WJ3RER9xtqwdhxkhw/edit?usp=sharing"",""ปราจีนบุรี!J82"")"),0.0)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IFERROR(__xludf.DUMMYFUNCTION("IMPORTRANGE(""https://docs.google.com/spreadsheets/d/1SX6NBoVAgQJ6U1MVXOaj8PK2l7WJ3RER9xtqwdhxkhw/edit?usp=sharing"",""ปราจีนบุรี!I83"")"),4.0)</f>
        <v>4</v>
      </c>
      <c r="J158" s="223">
        <f>IFERROR(__xludf.DUMMYFUNCTION("IMPORTRANGE(""https://docs.google.com/spreadsheets/d/1SX6NBoVAgQJ6U1MVXOaj8PK2l7WJ3RER9xtqwdhxkhw/edit?usp=sharing"",""ปราจีนบุรี!J83"")"),0.0)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IFERROR(__xludf.DUMMYFUNCTION("IMPORTRANGE(""https://docs.google.com/spreadsheets/d/1SX6NBoVAgQJ6U1MVXOaj8PK2l7WJ3RER9xtqwdhxkhw/edit?usp=sharing"",""ปราจีนบุรี!J84"")"),0.0)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IFERROR(__xludf.DUMMYFUNCTION("IMPORTRANGE(""https://docs.google.com/spreadsheets/d/1SX6NBoVAgQJ6U1MVXOaj8PK2l7WJ3RER9xtqwdhxkhw/edit?usp=sharing"",""ปราจีนบุรี!J85"")"),0.0)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IFERROR(__xludf.DUMMYFUNCTION("IMPORTRANGE(""https://docs.google.com/spreadsheets/d/1SX6NBoVAgQJ6U1MVXOaj8PK2l7WJ3RER9xtqwdhxkhw/edit?usp=sharing"",""ปราจีนบุรี!J86"")"),0.0)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IFERROR(__xludf.DUMMYFUNCTION("IMPORTRANGE(""https://docs.google.com/spreadsheets/d/1SX6NBoVAgQJ6U1MVXOaj8PK2l7WJ3RER9xtqwdhxkhw/edit?usp=sharing"",""ปราจีนบุรี!J87"")"),0.0)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IFERROR(__xludf.DUMMYFUNCTION("IMPORTRANGE(""https://docs.google.com/spreadsheets/d/1SX6NBoVAgQJ6U1MVXOaj8PK2l7WJ3RER9xtqwdhxkhw/edit?usp=sharing"",""ปราจีนบุรี!J88"")"),0.0)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IFERROR(__xludf.DUMMYFUNCTION("IMPORTRANGE(""https://docs.google.com/spreadsheets/d/1SX6NBoVAgQJ6U1MVXOaj8PK2l7WJ3RER9xtqwdhxkhw/edit?usp=sharing"",""ปราจีนบุรี!I89"")"),3.0)</f>
        <v>3</v>
      </c>
      <c r="J164" s="317">
        <f>IFERROR(__xludf.DUMMYFUNCTION("IMPORTRANGE(""https://docs.google.com/spreadsheets/d/1SX6NBoVAgQJ6U1MVXOaj8PK2l7WJ3RER9xtqwdhxkhw/edit?usp=sharing"",""ปราจีนบุรี!J89"")"),3.0)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IFERROR(__xludf.DUMMYFUNCTION("IMPORTRANGE(""https://docs.google.com/spreadsheets/d/1SX6NBoVAgQJ6U1MVXOaj8PK2l7WJ3RER9xtqwdhxkhw/edit?usp=sharing"",""ปราจีนบุรี!J94"")"),1.0)</f>
        <v>1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IFERROR(__xludf.DUMMYFUNCTION("IMPORTRANGE(""https://docs.google.com/spreadsheets/d/1SX6NBoVAgQJ6U1MVXOaj8PK2l7WJ3RER9xtqwdhxkhw/edit?usp=sharing"",""ปราจีนบุรี!J95"")"),0.0)</f>
        <v>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IFERROR(__xludf.DUMMYFUNCTION("IMPORTRANGE(""https://docs.google.com/spreadsheets/d/1SX6NBoVAgQJ6U1MVXOaj8PK2l7WJ3RER9xtqwdhxkhw/edit?usp=sharing"",""ปราจีนบุรี!J96"")"),1.0)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IFERROR(__xludf.DUMMYFUNCTION("IMPORTRANGE(""https://docs.google.com/spreadsheets/d/1SX6NBoVAgQJ6U1MVXOaj8PK2l7WJ3RER9xtqwdhxkhw/edit?usp=sharing"",""ปราจีนบุรี!J97"")"),0.0)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IFERROR(__xludf.DUMMYFUNCTION("IMPORTRANGE(""https://docs.google.com/spreadsheets/d/1SX6NBoVAgQJ6U1MVXOaj8PK2l7WJ3RER9xtqwdhxkhw/edit?usp=sharing"",""ปราจีนบุรี!I98"")"),3.0)</f>
        <v>3</v>
      </c>
      <c r="J173" s="223">
        <f>IFERROR(__xludf.DUMMYFUNCTION("IMPORTRANGE(""https://docs.google.com/spreadsheets/d/1SX6NBoVAgQJ6U1MVXOaj8PK2l7WJ3RER9xtqwdhxkhw/edit?usp=sharing"",""ปราจีนบุรี!J98"")"),3.0)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IFERROR(__xludf.DUMMYFUNCTION("IMPORTRANGE(""https://docs.google.com/spreadsheets/d/1SX6NBoVAgQJ6U1MVXOaj8PK2l7WJ3RER9xtqwdhxkhw/edit?usp=sharing"",""ปราจีนบุรี!J99"")"),0.0)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IFERROR(__xludf.DUMMYFUNCTION("IMPORTRANGE(""https://docs.google.com/spreadsheets/d/1SX6NBoVAgQJ6U1MVXOaj8PK2l7WJ3RER9xtqwdhxkhw/edit?usp=sharing"",""ปราจีนบุรี!J100"")"),0.0)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IFERROR(__xludf.DUMMYFUNCTION("IMPORTRANGE(""https://docs.google.com/spreadsheets/d/1SX6NBoVAgQJ6U1MVXOaj8PK2l7WJ3RER9xtqwdhxkhw/edit?usp=sharing"",""ปราจีนบุรี!I101"")"),0.0)</f>
        <v>0</v>
      </c>
      <c r="J176" s="317">
        <f>IFERROR(__xludf.DUMMYFUNCTION("IMPORTRANGE(""https://docs.google.com/spreadsheets/d/1SX6NBoVAgQJ6U1MVXOaj8PK2l7WJ3RER9xtqwdhxkhw/edit?usp=sharing"",""ปราจีนบุรี!J101"")"),0.0)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IFERROR(__xludf.DUMMYFUNCTION("IMPORTRANGE(""https://docs.google.com/spreadsheets/d/1SX6NBoVAgQJ6U1MVXOaj8PK2l7WJ3RER9xtqwdhxkhw/edit?usp=sharing"",""ปราจีนบุรี!J106"")"),0.0)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IFERROR(__xludf.DUMMYFUNCTION("IMPORTRANGE(""https://docs.google.com/spreadsheets/d/1SX6NBoVAgQJ6U1MVXOaj8PK2l7WJ3RER9xtqwdhxkhw/edit?usp=sharing"",""ปราจีนบุรี!J107"")"),0.0)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IFERROR(__xludf.DUMMYFUNCTION("IMPORTRANGE(""https://docs.google.com/spreadsheets/d/1SX6NBoVAgQJ6U1MVXOaj8PK2l7WJ3RER9xtqwdhxkhw/edit?usp=sharing"",""ปราจีนบุรี!J108"")"),0.0)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IFERROR(__xludf.DUMMYFUNCTION("IMPORTRANGE(""https://docs.google.com/spreadsheets/d/1SX6NBoVAgQJ6U1MVXOaj8PK2l7WJ3RER9xtqwdhxkhw/edit?usp=sharing"",""ปราจีนบุรี!J109"")"),0.0)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IFERROR(__xludf.DUMMYFUNCTION("IMPORTRANGE(""https://docs.google.com/spreadsheets/d/1SX6NBoVAgQJ6U1MVXOaj8PK2l7WJ3RER9xtqwdhxkhw/edit?usp=sharing"",""ปราจีนบุรี!I110"")"),0.0)</f>
        <v>0</v>
      </c>
      <c r="J185" s="238">
        <f>IFERROR(__xludf.DUMMYFUNCTION("IMPORTRANGE(""https://docs.google.com/spreadsheets/d/1SX6NBoVAgQJ6U1MVXOaj8PK2l7WJ3RER9xtqwdhxkhw/edit?usp=sharing"",""ปราจีนบุรี!J110"")"),0.0)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IFERROR(__xludf.DUMMYFUNCTION("IMPORTRANGE(""https://docs.google.com/spreadsheets/d/1SX6NBoVAgQJ6U1MVXOaj8PK2l7WJ3RER9xtqwdhxkhw/edit?usp=sharing"",""ปราจีนบุรี!I111"")"),0.0)</f>
        <v>0</v>
      </c>
      <c r="J186" s="238">
        <f>IFERROR(__xludf.DUMMYFUNCTION("IMPORTRANGE(""https://docs.google.com/spreadsheets/d/1SX6NBoVAgQJ6U1MVXOaj8PK2l7WJ3RER9xtqwdhxkhw/edit?usp=sharing"",""ปราจีนบุรี!J111"")"),0.0)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IFERROR(__xludf.DUMMYFUNCTION("IMPORTRANGE(""https://docs.google.com/spreadsheets/d/1SX6NBoVAgQJ6U1MVXOaj8PK2l7WJ3RER9xtqwdhxkhw/edit?usp=sharing"",""ปราจีนบุรี!J112"")"),0.0)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IFERROR(__xludf.DUMMYFUNCTION("IMPORTRANGE(""https://docs.google.com/spreadsheets/d/1SX6NBoVAgQJ6U1MVXOaj8PK2l7WJ3RER9xtqwdhxkhw/edit?usp=sharing"",""ปราจีนบุรี!J113"")"),0.0)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IFERROR(__xludf.DUMMYFUNCTION("IMPORTRANGE(""https://docs.google.com/spreadsheets/d/1SX6NBoVAgQJ6U1MVXOaj8PK2l7WJ3RER9xtqwdhxkhw/edit?usp=sharing"",""ปราจีนบุรี!I114"")"),20000.0)</f>
        <v>20000</v>
      </c>
      <c r="J189" s="317">
        <f>IFERROR(__xludf.DUMMYFUNCTION("IMPORTRANGE(""https://docs.google.com/spreadsheets/d/1SX6NBoVAgQJ6U1MVXOaj8PK2l7WJ3RER9xtqwdhxkhw/edit?usp=sharing"",""ปราจีนบุรี!J114"")"),0.0)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IFERROR(__xludf.DUMMYFUNCTION("IMPORTRANGE(""https://docs.google.com/spreadsheets/d/1SX6NBoVAgQJ6U1MVXOaj8PK2l7WJ3RER9xtqwdhxkhw/edit?usp=sharing"",""ปราจีนบุรี!J119"")"),1.0)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IFERROR(__xludf.DUMMYFUNCTION("IMPORTRANGE(""https://docs.google.com/spreadsheets/d/1SX6NBoVAgQJ6U1MVXOaj8PK2l7WJ3RER9xtqwdhxkhw/edit?usp=sharing"",""ปราจีนบุรี!J120"")"),0.0)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IFERROR(__xludf.DUMMYFUNCTION("IMPORTRANGE(""https://docs.google.com/spreadsheets/d/1SX6NBoVAgQJ6U1MVXOaj8PK2l7WJ3RER9xtqwdhxkhw/edit?usp=sharing"",""ปราจีนบุรี!J121"")"),0.0)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IFERROR(__xludf.DUMMYFUNCTION("IMPORTRANGE(""https://docs.google.com/spreadsheets/d/1SX6NBoVAgQJ6U1MVXOaj8PK2l7WJ3RER9xtqwdhxkhw/edit?usp=sharing"",""ปราจีนบุรี!J122"")"),0.0)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IFERROR(__xludf.DUMMYFUNCTION("IMPORTRANGE(""https://docs.google.com/spreadsheets/d/1SX6NBoVAgQJ6U1MVXOaj8PK2l7WJ3RER9xtqwdhxkhw/edit?usp=sharing"",""ปราจีนบุรี!I124"")"),20000.0)</f>
        <v>20000</v>
      </c>
      <c r="J199" s="223">
        <f>IFERROR(__xludf.DUMMYFUNCTION("IMPORTRANGE(""https://docs.google.com/spreadsheets/d/1SX6NBoVAgQJ6U1MVXOaj8PK2l7WJ3RER9xtqwdhxkhw/edit?usp=sharing"",""ปราจีนบุรี!J124"")"),0.0)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IFERROR(__xludf.DUMMYFUNCTION("IMPORTRANGE(""https://docs.google.com/spreadsheets/d/1SX6NBoVAgQJ6U1MVXOaj8PK2l7WJ3RER9xtqwdhxkhw/edit?usp=sharing"",""ปราจีนบุรี!I125"")"),20000.0)</f>
        <v>20000</v>
      </c>
      <c r="J200" s="223">
        <f>IFERROR(__xludf.DUMMYFUNCTION("IMPORTRANGE(""https://docs.google.com/spreadsheets/d/1SX6NBoVAgQJ6U1MVXOaj8PK2l7WJ3RER9xtqwdhxkhw/edit?usp=sharing"",""ปราจีนบุรี!J125"")"),0.0)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IFERROR(__xludf.DUMMYFUNCTION("IMPORTRANGE(""https://docs.google.com/spreadsheets/d/1SX6NBoVAgQJ6U1MVXOaj8PK2l7WJ3RER9xtqwdhxkhw/edit?usp=sharing"",""ปราจีนบุรี!I126"")"),0.0)</f>
        <v>0</v>
      </c>
      <c r="J201" s="223">
        <f>IFERROR(__xludf.DUMMYFUNCTION("IMPORTRANGE(""https://docs.google.com/spreadsheets/d/1SX6NBoVAgQJ6U1MVXOaj8PK2l7WJ3RER9xtqwdhxkhw/edit?usp=sharing"",""ปราจีนบุรี!J126"")"),0.0)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IFERROR(__xludf.DUMMYFUNCTION("IMPORTRANGE(""https://docs.google.com/spreadsheets/d/1SX6NBoVAgQJ6U1MVXOaj8PK2l7WJ3RER9xtqwdhxkhw/edit?usp=sharing"",""ปราจีนบุรี!J127"")"),0.0)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IFERROR(__xludf.DUMMYFUNCTION("IMPORTRANGE(""https://docs.google.com/spreadsheets/d/1SX6NBoVAgQJ6U1MVXOaj8PK2l7WJ3RER9xtqwdhxkhw/edit?usp=sharing"",""ปราจีนบุรี!J128"")"),0.0)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IFERROR(__xludf.DUMMYFUNCTION("IMPORTRANGE(""https://docs.google.com/spreadsheets/d/1SX6NBoVAgQJ6U1MVXOaj8PK2l7WJ3RER9xtqwdhxkhw/edit?usp=sharing"",""ปราจีนบุรี!I129"")"),20.0)</f>
        <v>20</v>
      </c>
      <c r="J204" s="317">
        <f>IFERROR(__xludf.DUMMYFUNCTION("IMPORTRANGE(""https://docs.google.com/spreadsheets/d/1SX6NBoVAgQJ6U1MVXOaj8PK2l7WJ3RER9xtqwdhxkhw/edit?usp=sharing"",""ปราจีนบุรี!J129"")"),0.0)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IFERROR(__xludf.DUMMYFUNCTION("IMPORTRANGE(""https://docs.google.com/spreadsheets/d/1SX6NBoVAgQJ6U1MVXOaj8PK2l7WJ3RER9xtqwdhxkhw/edit?usp=sharing"",""ปราจีนบุรี!J134"")"),1.0)</f>
        <v>1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IFERROR(__xludf.DUMMYFUNCTION("IMPORTRANGE(""https://docs.google.com/spreadsheets/d/1SX6NBoVAgQJ6U1MVXOaj8PK2l7WJ3RER9xtqwdhxkhw/edit?usp=sharing"",""ปราจีนบุรี!J135"")"),0.0)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IFERROR(__xludf.DUMMYFUNCTION("IMPORTRANGE(""https://docs.google.com/spreadsheets/d/1SX6NBoVAgQJ6U1MVXOaj8PK2l7WJ3RER9xtqwdhxkhw/edit?usp=sharing"",""ปราจีนบุรี!J136"")"),0.0)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IFERROR(__xludf.DUMMYFUNCTION("IMPORTRANGE(""https://docs.google.com/spreadsheets/d/1SX6NBoVAgQJ6U1MVXOaj8PK2l7WJ3RER9xtqwdhxkhw/edit?usp=sharing"",""ปราจีนบุรี!J137"")"),0.0)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IFERROR(__xludf.DUMMYFUNCTION("IMPORTRANGE(""https://docs.google.com/spreadsheets/d/1SX6NBoVAgQJ6U1MVXOaj8PK2l7WJ3RER9xtqwdhxkhw/edit?usp=sharing"",""ปราจีนบุรี!I138"")"),20.0)</f>
        <v>20</v>
      </c>
      <c r="J213" s="238">
        <f>IFERROR(__xludf.DUMMYFUNCTION("IMPORTRANGE(""https://docs.google.com/spreadsheets/d/1SX6NBoVAgQJ6U1MVXOaj8PK2l7WJ3RER9xtqwdhxkhw/edit?usp=sharing"",""ปราจีนบุรี!J138"")"),0.0)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IFERROR(__xludf.DUMMYFUNCTION("IMPORTRANGE(""https://docs.google.com/spreadsheets/d/1SX6NBoVAgQJ6U1MVXOaj8PK2l7WJ3RER9xtqwdhxkhw/edit?usp=sharing"",""ปราจีนบุรี!I140"")"),0.0)</f>
        <v>0</v>
      </c>
      <c r="J215" s="238">
        <f>IFERROR(__xludf.DUMMYFUNCTION("IMPORTRANGE(""https://docs.google.com/spreadsheets/d/1SX6NBoVAgQJ6U1MVXOaj8PK2l7WJ3RER9xtqwdhxkhw/edit?usp=sharing"",""ปราจีนบุรี!J140"")"),0.0)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IFERROR(__xludf.DUMMYFUNCTION("IMPORTRANGE(""https://docs.google.com/spreadsheets/d/1SX6NBoVAgQJ6U1MVXOaj8PK2l7WJ3RER9xtqwdhxkhw/edit?usp=sharing"",""ปราจีนบุรี!I141"")"),1.0)</f>
        <v>1</v>
      </c>
      <c r="J216" s="238">
        <f>IFERROR(__xludf.DUMMYFUNCTION("IMPORTRANGE(""https://docs.google.com/spreadsheets/d/1SX6NBoVAgQJ6U1MVXOaj8PK2l7WJ3RER9xtqwdhxkhw/edit?usp=sharing"",""ปราจีนบุรี!J141"")"),0.0)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IFERROR(__xludf.DUMMYFUNCTION("IMPORTRANGE(""https://docs.google.com/spreadsheets/d/1SX6NBoVAgQJ6U1MVXOaj8PK2l7WJ3RER9xtqwdhxkhw/edit?usp=sharing"",""ปราจีนบุรี!J142"")"),0.0)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IFERROR(__xludf.DUMMYFUNCTION("IMPORTRANGE(""https://docs.google.com/spreadsheets/d/1SX6NBoVAgQJ6U1MVXOaj8PK2l7WJ3RER9xtqwdhxkhw/edit?usp=sharing"",""ปราจีนบุรี!J143"")"),0.0)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IFERROR(__xludf.DUMMYFUNCTION("IMPORTRANGE(""https://docs.google.com/spreadsheets/d/1SX6NBoVAgQJ6U1MVXOaj8PK2l7WJ3RER9xtqwdhxkhw/edit?usp=sharing"",""ปราจีนบุรี!I144"")"),15.0)</f>
        <v>15</v>
      </c>
      <c r="J219" s="301">
        <f>IFERROR(__xludf.DUMMYFUNCTION("IMPORTRANGE(""https://docs.google.com/spreadsheets/d/1SX6NBoVAgQJ6U1MVXOaj8PK2l7WJ3RER9xtqwdhxkhw/edit?usp=sharing"",""ปราจีนบุรี!J144"")"),0.0)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15020</v>
      </c>
      <c r="O220" s="182">
        <f t="shared" ref="O220:O222" si="75">IF(L220&gt;0,N220*100/L220,0)</f>
        <v>71.10059172</v>
      </c>
      <c r="P220" s="182">
        <f t="shared" ref="P220:P222" si="76">IF(M220&gt;0,N220*100/M220,0)</f>
        <v>71.10059172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15020</v>
      </c>
      <c r="O222" s="187">
        <f t="shared" si="75"/>
        <v>71.10059172</v>
      </c>
      <c r="P222" s="187">
        <f t="shared" si="76"/>
        <v>71.10059172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0">
        <f>IFERROR(__xludf.DUMMYFUNCTION("IMPORTRANGE(""https://docs.google.com/spreadsheets/d/1Yj_ptqi66GCucihVvJfMjLAmec39IyEx_6qawtMGysU/edit?usp=sharing"",""สบก!BS69"")"),21125.0)</f>
        <v>21125</v>
      </c>
      <c r="N224" s="203">
        <f>IFERROR(__xludf.DUMMYFUNCTION("IMPORTRANGE(""https://docs.google.com/spreadsheets/d/1Yj_ptqi66GCucihVvJfMjLAmec39IyEx_6qawtMGysU/edit?usp=sharing"",""สบก!BT69"")"),15020.0)</f>
        <v>15020</v>
      </c>
      <c r="O224" s="203">
        <f>IF(L224&gt;0,N224*100/L224,0)</f>
        <v>71.10059172</v>
      </c>
      <c r="P224" s="203">
        <f>IF(M224&gt;0,N224*100/M224,0)</f>
        <v>71.10059172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IFERROR(__xludf.DUMMYFUNCTION("IMPORTRANGE(""https://docs.google.com/spreadsheets/d/1Yj_ptqi66GCucihVvJfMjLAmec39IyEx_6qawtMGysU/edit?usp=sharing"",""สบก!BO69"")"),0.0)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IFERROR(__xludf.DUMMYFUNCTION("IMPORTRANGE(""https://docs.google.com/spreadsheets/d/1Yj_ptqi66GCucihVvJfMjLAmec39IyEx_6qawtMGysU/edit?usp=sharing"",""สบก!BP69"")"),21125.0)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IFERROR(__xludf.DUMMYFUNCTION("IMPORTRANGE(""https://docs.google.com/spreadsheets/d/1Yj_ptqi66GCucihVvJfMjLAmec39IyEx_6qawtMGysU/edit?usp=sharing"",""สบก!BQ69"")"),0.0)</f>
        <v>0</v>
      </c>
      <c r="M228" s="70"/>
      <c r="N228" s="70">
        <f>IFERROR(__xludf.DUMMYFUNCTION("IMPORTRANGE(""https://docs.google.com/spreadsheets/d/1Yj_ptqi66GCucihVvJfMjLAmec39IyEx_6qawtMGysU/edit?usp=sharing"",""สบก!BU69"")"),0.0)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IFERROR(__xludf.DUMMYFUNCTION("IMPORTRANGE(""https://docs.google.com/spreadsheets/d/1SX6NBoVAgQJ6U1MVXOaj8PK2l7WJ3RER9xtqwdhxkhw/edit?usp=sharing"",""ปราจีนบุรี!I149"")"),15.0)</f>
        <v>15</v>
      </c>
      <c r="J229" s="301">
        <f>IFERROR(__xludf.DUMMYFUNCTION("IMPORTRANGE(""https://docs.google.com/spreadsheets/d/1SX6NBoVAgQJ6U1MVXOaj8PK2l7WJ3RER9xtqwdhxkhw/edit?usp=sharing"",""ปราจีนบุรี!J149"")"),0.0)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IFERROR(__xludf.DUMMYFUNCTION("IMPORTRANGE(""https://docs.google.com/spreadsheets/d/1SX6NBoVAgQJ6U1MVXOaj8PK2l7WJ3RER9xtqwdhxkhw/edit?usp=sharing"",""ปราจีนบุรี!J151"")"),1.0)</f>
        <v>1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IFERROR(__xludf.DUMMYFUNCTION("IMPORTRANGE(""https://docs.google.com/spreadsheets/d/1SX6NBoVAgQJ6U1MVXOaj8PK2l7WJ3RER9xtqwdhxkhw/edit?usp=sharing"",""ปราจีนบุรี!J152"")"),0.0)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IFERROR(__xludf.DUMMYFUNCTION("IMPORTRANGE(""https://docs.google.com/spreadsheets/d/1SX6NBoVAgQJ6U1MVXOaj8PK2l7WJ3RER9xtqwdhxkhw/edit?usp=sharing"",""ปราจีนบุรี!J153"")"),0.0)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IFERROR(__xludf.DUMMYFUNCTION("IMPORTRANGE(""https://docs.google.com/spreadsheets/d/1SX6NBoVAgQJ6U1MVXOaj8PK2l7WJ3RER9xtqwdhxkhw/edit?usp=sharing"",""ปราจีนบุรี!J154"")"),0.0)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IFERROR(__xludf.DUMMYFUNCTION("IMPORTRANGE(""https://docs.google.com/spreadsheets/d/1SX6NBoVAgQJ6U1MVXOaj8PK2l7WJ3RER9xtqwdhxkhw/edit?usp=sharing"",""ปราจีนบุรี!I155"")"),15.0)</f>
        <v>15</v>
      </c>
      <c r="J235" s="223">
        <f>IFERROR(__xludf.DUMMYFUNCTION("IMPORTRANGE(""https://docs.google.com/spreadsheets/d/1SX6NBoVAgQJ6U1MVXOaj8PK2l7WJ3RER9xtqwdhxkhw/edit?usp=sharing"",""ปราจีนบุรี!J155"")"),0.0)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IFERROR(__xludf.DUMMYFUNCTION("IMPORTRANGE(""https://docs.google.com/spreadsheets/d/1SX6NBoVAgQJ6U1MVXOaj8PK2l7WJ3RER9xtqwdhxkhw/edit?usp=sharing"",""ปราจีนบุรี!J156"")"),0.0)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IFERROR(__xludf.DUMMYFUNCTION("IMPORTRANGE(""https://docs.google.com/spreadsheets/d/1SX6NBoVAgQJ6U1MVXOaj8PK2l7WJ3RER9xtqwdhxkhw/edit?usp=sharing"",""ปราจีนบุรี!J157"")"),0.0)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IFERROR(__xludf.DUMMYFUNCTION("IMPORTRANGE(""https://docs.google.com/spreadsheets/d/1SX6NBoVAgQJ6U1MVXOaj8PK2l7WJ3RER9xtqwdhxkhw/edit?usp=sharing"",""ปราจีนบุรี!I158"")"),0.0)</f>
        <v>0</v>
      </c>
      <c r="J238" s="301">
        <f>IFERROR(__xludf.DUMMYFUNCTION("IMPORTRANGE(""https://docs.google.com/spreadsheets/d/1SX6NBoVAgQJ6U1MVXOaj8PK2l7WJ3RER9xtqwdhxkhw/edit?usp=sharing"",""ปราจีนบุรี!J158"")"),0.0)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IFERROR(__xludf.DUMMYFUNCTION("IMPORTRANGE(""https://docs.google.com/spreadsheets/d/1SX6NBoVAgQJ6U1MVXOaj8PK2l7WJ3RER9xtqwdhxkhw/edit?usp=sharing"",""ปราจีนบุรี!J159"")"),"")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IFERROR(__xludf.DUMMYFUNCTION("IMPORTRANGE(""https://docs.google.com/spreadsheets/d/1SX6NBoVAgQJ6U1MVXOaj8PK2l7WJ3RER9xtqwdhxkhw/edit?usp=sharing"",""ปราจีนบุรี!J161"")"),0.0)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IFERROR(__xludf.DUMMYFUNCTION("IMPORTRANGE(""https://docs.google.com/spreadsheets/d/1SX6NBoVAgQJ6U1MVXOaj8PK2l7WJ3RER9xtqwdhxkhw/edit?usp=sharing"",""ปราจีนบุรี!J162"")"),0.0)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IFERROR(__xludf.DUMMYFUNCTION("IMPORTRANGE(""https://docs.google.com/spreadsheets/d/1SX6NBoVAgQJ6U1MVXOaj8PK2l7WJ3RER9xtqwdhxkhw/edit?usp=sharing"",""ปราจีนบุรี!J163"")"),0.0)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IFERROR(__xludf.DUMMYFUNCTION("IMPORTRANGE(""https://docs.google.com/spreadsheets/d/1SX6NBoVAgQJ6U1MVXOaj8PK2l7WJ3RER9xtqwdhxkhw/edit?usp=sharing"",""ปราจีนบุรี!I164"")"),0.0)</f>
        <v>0</v>
      </c>
      <c r="J244" s="222">
        <f>IFERROR(__xludf.DUMMYFUNCTION("IMPORTRANGE(""https://docs.google.com/spreadsheets/d/1SX6NBoVAgQJ6U1MVXOaj8PK2l7WJ3RER9xtqwdhxkhw/edit?usp=sharing"",""ปราจีนบุรี!J164"")"),0.0)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IFERROR(__xludf.DUMMYFUNCTION("IMPORTRANGE(""https://docs.google.com/spreadsheets/d/1SX6NBoVAgQJ6U1MVXOaj8PK2l7WJ3RER9xtqwdhxkhw/edit?usp=sharing"",""ปราจีนบุรี!J165"")"),0.0)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IFERROR(__xludf.DUMMYFUNCTION("IMPORTRANGE(""https://docs.google.com/spreadsheets/d/1SX6NBoVAgQJ6U1MVXOaj8PK2l7WJ3RER9xtqwdhxkhw/edit?usp=sharing"",""ปราจีนบุรี!J166"")"),0.0)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IFERROR(__xludf.DUMMYFUNCTION("IMPORTRANGE(""https://docs.google.com/spreadsheets/d/1SX6NBoVAgQJ6U1MVXOaj8PK2l7WJ3RER9xtqwdhxkhw/edit?usp=sharing"",""ปราจีนบุรี!I169"")"),20.0)</f>
        <v>20</v>
      </c>
      <c r="J249" s="349">
        <f>IFERROR(__xludf.DUMMYFUNCTION("IMPORTRANGE(""https://docs.google.com/spreadsheets/d/1SX6NBoVAgQJ6U1MVXOaj8PK2l7WJ3RER9xtqwdhxkhw/edit?usp=sharing"",""ปราจีนบุรี!J169"")"),0.0)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0">
        <f>IFERROR(__xludf.DUMMYFUNCTION("IMPORTRANGE(""https://docs.google.com/spreadsheets/d/1Yj_ptqi66GCucihVvJfMjLAmec39IyEx_6qawtMGysU/edit?usp=sharing"",""สบก!CB69"")"),37000.0)</f>
        <v>37000</v>
      </c>
      <c r="N254" s="203">
        <f>IFERROR(__xludf.DUMMYFUNCTION("IMPORTRANGE(""https://docs.google.com/spreadsheets/d/1Yj_ptqi66GCucihVvJfMjLAmec39IyEx_6qawtMGysU/edit?usp=sharing"",""สบก!CC69"")"),0.0)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IFERROR(__xludf.DUMMYFUNCTION("IMPORTRANGE(""https://docs.google.com/spreadsheets/d/1Yj_ptqi66GCucihVvJfMjLAmec39IyEx_6qawtMGysU/edit?usp=sharing"",""สบก!BX69"")"),0.0)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IFERROR(__xludf.DUMMYFUNCTION("IMPORTRANGE(""https://docs.google.com/spreadsheets/d/1Yj_ptqi66GCucihVvJfMjLAmec39IyEx_6qawtMGysU/edit?usp=sharing"",""สบก!BY69"")"),71400.0)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IFERROR(__xludf.DUMMYFUNCTION("IMPORTRANGE(""https://docs.google.com/spreadsheets/d/1Yj_ptqi66GCucihVvJfMjLAmec39IyEx_6qawtMGysU/edit?usp=sharing"",""สบก!BZ69"")"),0.0)</f>
        <v>0</v>
      </c>
      <c r="M258" s="70"/>
      <c r="N258" s="70">
        <f>IFERROR(__xludf.DUMMYFUNCTION("IMPORTRANGE(""https://docs.google.com/spreadsheets/d/1Yj_ptqi66GCucihVvJfMjLAmec39IyEx_6qawtMGysU/edit?usp=sharing"",""สบก!CD69"")"),0.0)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IFERROR(__xludf.DUMMYFUNCTION("IMPORTRANGE(""https://docs.google.com/spreadsheets/d/1SX6NBoVAgQJ6U1MVXOaj8PK2l7WJ3RER9xtqwdhxkhw/edit?usp=sharing"",""ปราจีนบุรี!J175"")"),1.0)</f>
        <v>1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IFERROR(__xludf.DUMMYFUNCTION("IMPORTRANGE(""https://docs.google.com/spreadsheets/d/1SX6NBoVAgQJ6U1MVXOaj8PK2l7WJ3RER9xtqwdhxkhw/edit?usp=sharing"",""ปราจีนบุรี!J176"")"),0.0)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IFERROR(__xludf.DUMMYFUNCTION("IMPORTRANGE(""https://docs.google.com/spreadsheets/d/1SX6NBoVAgQJ6U1MVXOaj8PK2l7WJ3RER9xtqwdhxkhw/edit?usp=sharing"",""ปราจีนบุรี!J177"")"),0.0)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IFERROR(__xludf.DUMMYFUNCTION("IMPORTRANGE(""https://docs.google.com/spreadsheets/d/1SX6NBoVAgQJ6U1MVXOaj8PK2l7WJ3RER9xtqwdhxkhw/edit?usp=sharing"",""ปราจีนบุรี!J178"")"),0.0)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IFERROR(__xludf.DUMMYFUNCTION("IMPORTRANGE(""https://docs.google.com/spreadsheets/d/1SX6NBoVAgQJ6U1MVXOaj8PK2l7WJ3RER9xtqwdhxkhw/edit?usp=sharing"",""ปราจีนบุรี!I179"")"),1.0)</f>
        <v>1</v>
      </c>
      <c r="J264" s="223">
        <f>IFERROR(__xludf.DUMMYFUNCTION("IMPORTRANGE(""https://docs.google.com/spreadsheets/d/1SX6NBoVAgQJ6U1MVXOaj8PK2l7WJ3RER9xtqwdhxkhw/edit?usp=sharing"",""ปราจีนบุรี!J179"")"),0.0)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IFERROR(__xludf.DUMMYFUNCTION("IMPORTRANGE(""https://docs.google.com/spreadsheets/d/1SX6NBoVAgQJ6U1MVXOaj8PK2l7WJ3RER9xtqwdhxkhw/edit?usp=sharing"",""ปราจีนบุรี!I180"")"),20.0)</f>
        <v>20</v>
      </c>
      <c r="J265" s="223">
        <f>IFERROR(__xludf.DUMMYFUNCTION("IMPORTRANGE(""https://docs.google.com/spreadsheets/d/1SX6NBoVAgQJ6U1MVXOaj8PK2l7WJ3RER9xtqwdhxkhw/edit?usp=sharing"",""ปราจีนบุรี!J180"")"),0.0)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IFERROR(__xludf.DUMMYFUNCTION("IMPORTRANGE(""https://docs.google.com/spreadsheets/d/1SX6NBoVAgQJ6U1MVXOaj8PK2l7WJ3RER9xtqwdhxkhw/edit?usp=sharing"",""ปราจีนบุรี!I181"")"),20.0)</f>
        <v>20</v>
      </c>
      <c r="J266" s="223">
        <f>IFERROR(__xludf.DUMMYFUNCTION("IMPORTRANGE(""https://docs.google.com/spreadsheets/d/1SX6NBoVAgQJ6U1MVXOaj8PK2l7WJ3RER9xtqwdhxkhw/edit?usp=sharing"",""ปราจีนบุรี!J181"")"),0.0)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IFERROR(__xludf.DUMMYFUNCTION("IMPORTRANGE(""https://docs.google.com/spreadsheets/d/1SX6NBoVAgQJ6U1MVXOaj8PK2l7WJ3RER9xtqwdhxkhw/edit?usp=sharing"",""ปราจีนบุรี!I182"")"),1.0)</f>
        <v>1</v>
      </c>
      <c r="J267" s="223">
        <f>IFERROR(__xludf.DUMMYFUNCTION("IMPORTRANGE(""https://docs.google.com/spreadsheets/d/1SX6NBoVAgQJ6U1MVXOaj8PK2l7WJ3RER9xtqwdhxkhw/edit?usp=sharing"",""ปราจีนบุรี!J182"")"),0.0)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IFERROR(__xludf.DUMMYFUNCTION("IMPORTRANGE(""https://docs.google.com/spreadsheets/d/1SX6NBoVAgQJ6U1MVXOaj8PK2l7WJ3RER9xtqwdhxkhw/edit?usp=sharing"",""ปราจีนบุรี!J183"")"),0.0)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IFERROR(__xludf.DUMMYFUNCTION("IMPORTRANGE(""https://docs.google.com/spreadsheets/d/1SX6NBoVAgQJ6U1MVXOaj8PK2l7WJ3RER9xtqwdhxkhw/edit?usp=sharing"",""ปราจีนบุรี!J184"")"),0.0)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IFERROR(__xludf.DUMMYFUNCTION("IMPORTRANGE(""https://docs.google.com/spreadsheets/d/1SX6NBoVAgQJ6U1MVXOaj8PK2l7WJ3RER9xtqwdhxkhw/edit?usp=sharing"",""ปราจีนบุรี!I185"")"),0.0)</f>
        <v>0</v>
      </c>
      <c r="J270" s="349">
        <f>IFERROR(__xludf.DUMMYFUNCTION("IMPORTRANGE(""https://docs.google.com/spreadsheets/d/1SX6NBoVAgQJ6U1MVXOaj8PK2l7WJ3RER9xtqwdhxkhw/edit?usp=sharing"",""ปราจีนบุรี!J185"")"),0.0)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0">
        <f>IFERROR(__xludf.DUMMYFUNCTION("IMPORTRANGE(""https://docs.google.com/spreadsheets/d/1Yj_ptqi66GCucihVvJfMjLAmec39IyEx_6qawtMGysU/edit?usp=sharing"",""สบก!CK69"")"),0.0)</f>
        <v>0</v>
      </c>
      <c r="N275" s="203">
        <f>IFERROR(__xludf.DUMMYFUNCTION("IMPORTRANGE(""https://docs.google.com/spreadsheets/d/1Yj_ptqi66GCucihVvJfMjLAmec39IyEx_6qawtMGysU/edit?usp=sharing"",""สบก!CL69"")"),0.0)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IFERROR(__xludf.DUMMYFUNCTION("IMPORTRANGE(""https://docs.google.com/spreadsheets/d/1Yj_ptqi66GCucihVvJfMjLAmec39IyEx_6qawtMGysU/edit?usp=sharing"",""สบก!CG69"")"),0.0)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IFERROR(__xludf.DUMMYFUNCTION("IMPORTRANGE(""https://docs.google.com/spreadsheets/d/1Yj_ptqi66GCucihVvJfMjLAmec39IyEx_6qawtMGysU/edit?usp=sharing"",""สบก!CH69"")"),0.0)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IFERROR(__xludf.DUMMYFUNCTION("IMPORTRANGE(""https://docs.google.com/spreadsheets/d/1Yj_ptqi66GCucihVvJfMjLAmec39IyEx_6qawtMGysU/edit?usp=sharing"",""สบก!CI69"")"),0.0)</f>
        <v>0</v>
      </c>
      <c r="M279" s="70"/>
      <c r="N279" s="70">
        <f>IFERROR(__xludf.DUMMYFUNCTION("IMPORTRANGE(""https://docs.google.com/spreadsheets/d/1Yj_ptqi66GCucihVvJfMjLAmec39IyEx_6qawtMGysU/edit?usp=sharing"",""สบก!CM69"")"),0.0)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IFERROR(__xludf.DUMMYFUNCTION("IMPORTRANGE(""https://docs.google.com/spreadsheets/d/1SX6NBoVAgQJ6U1MVXOaj8PK2l7WJ3RER9xtqwdhxkhw/edit?usp=sharing"",""ปราจีนบุรี!J191"")"),0.0)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IFERROR(__xludf.DUMMYFUNCTION("IMPORTRANGE(""https://docs.google.com/spreadsheets/d/1SX6NBoVAgQJ6U1MVXOaj8PK2l7WJ3RER9xtqwdhxkhw/edit?usp=sharing"",""ปราจีนบุรี!J192"")"),0.0)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IFERROR(__xludf.DUMMYFUNCTION("IMPORTRANGE(""https://docs.google.com/spreadsheets/d/1SX6NBoVAgQJ6U1MVXOaj8PK2l7WJ3RER9xtqwdhxkhw/edit?usp=sharing"",""ปราจีนบุรี!J193"")"),0.0)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IFERROR(__xludf.DUMMYFUNCTION("IMPORTRANGE(""https://docs.google.com/spreadsheets/d/1SX6NBoVAgQJ6U1MVXOaj8PK2l7WJ3RER9xtqwdhxkhw/edit?usp=sharing"",""ปราจีนบุรี!J194"")"),0.0)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IFERROR(__xludf.DUMMYFUNCTION("IMPORTRANGE(""https://docs.google.com/spreadsheets/d/1SX6NBoVAgQJ6U1MVXOaj8PK2l7WJ3RER9xtqwdhxkhw/edit?usp=sharing"",""ปราจีนบุรี!I195"")"),0.0)</f>
        <v>0</v>
      </c>
      <c r="J285" s="223">
        <f>IFERROR(__xludf.DUMMYFUNCTION("IMPORTRANGE(""https://docs.google.com/spreadsheets/d/1SX6NBoVAgQJ6U1MVXOaj8PK2l7WJ3RER9xtqwdhxkhw/edit?usp=sharing"",""ปราจีนบุรี!J195"")"),0.0)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IFERROR(__xludf.DUMMYFUNCTION("IMPORTRANGE(""https://docs.google.com/spreadsheets/d/1SX6NBoVAgQJ6U1MVXOaj8PK2l7WJ3RER9xtqwdhxkhw/edit?usp=sharing"",""ปราจีนบุรี!J196"")"),0.0)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IFERROR(__xludf.DUMMYFUNCTION("IMPORTRANGE(""https://docs.google.com/spreadsheets/d/1SX6NBoVAgQJ6U1MVXOaj8PK2l7WJ3RER9xtqwdhxkhw/edit?usp=sharing"",""ปราจีนบุรี!J197"")"),0.0)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IFERROR(__xludf.DUMMYFUNCTION("IMPORTRANGE(""https://docs.google.com/spreadsheets/d/1SX6NBoVAgQJ6U1MVXOaj8PK2l7WJ3RER9xtqwdhxkhw/edit?usp=sharing"",""ปราจีนบุรี!I199"")"),0.0)</f>
        <v>0</v>
      </c>
      <c r="J289" s="349">
        <f>IFERROR(__xludf.DUMMYFUNCTION("IMPORTRANGE(""https://docs.google.com/spreadsheets/d/1SX6NBoVAgQJ6U1MVXOaj8PK2l7WJ3RER9xtqwdhxkhw/edit?usp=sharing"",""ปราจีนบุรี!J199"")"),0.0)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IFERROR(__xludf.DUMMYFUNCTION("IMPORTRANGE(""https://docs.google.com/spreadsheets/d/1Yj_ptqi66GCucihVvJfMjLAmec39IyEx_6qawtMGysU/edit?usp=sharing"",""สบก!CT69"")"),0.0)</f>
        <v>0</v>
      </c>
      <c r="N294" s="203">
        <f>IFERROR(__xludf.DUMMYFUNCTION("IMPORTRANGE(""https://docs.google.com/spreadsheets/d/1Yj_ptqi66GCucihVvJfMjLAmec39IyEx_6qawtMGysU/edit?usp=sharing"",""สบก!CU69"")"),0.0)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IFERROR(__xludf.DUMMYFUNCTION("IMPORTRANGE(""https://docs.google.com/spreadsheets/d/1Yj_ptqi66GCucihVvJfMjLAmec39IyEx_6qawtMGysU/edit?usp=sharing"",""สบก!CP69"")"),0.0)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IFERROR(__xludf.DUMMYFUNCTION("IMPORTRANGE(""https://docs.google.com/spreadsheets/d/1Yj_ptqi66GCucihVvJfMjLAmec39IyEx_6qawtMGysU/edit?usp=sharing"",""สบก!CQ69"")"),0.0)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IFERROR(__xludf.DUMMYFUNCTION("IMPORTRANGE(""https://docs.google.com/spreadsheets/d/1Yj_ptqi66GCucihVvJfMjLAmec39IyEx_6qawtMGysU/edit?usp=sharing"",""สบก!CR69"")"),0.0)</f>
        <v>0</v>
      </c>
      <c r="M298" s="70"/>
      <c r="N298" s="70">
        <f>IFERROR(__xludf.DUMMYFUNCTION("IMPORTRANGE(""https://docs.google.com/spreadsheets/d/1Yj_ptqi66GCucihVvJfMjLAmec39IyEx_6qawtMGysU/edit?usp=sharing"",""สบก!CV69"")"),0.0)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IFERROR(__xludf.DUMMYFUNCTION("IMPORTRANGE(""https://docs.google.com/spreadsheets/d/1SX6NBoVAgQJ6U1MVXOaj8PK2l7WJ3RER9xtqwdhxkhw/edit?usp=sharing"",""ปราจีนบุรี!J205"")"),0.0)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IFERROR(__xludf.DUMMYFUNCTION("IMPORTRANGE(""https://docs.google.com/spreadsheets/d/1SX6NBoVAgQJ6U1MVXOaj8PK2l7WJ3RER9xtqwdhxkhw/edit?usp=sharing"",""ปราจีนบุรี!J206"")"),0.0)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IFERROR(__xludf.DUMMYFUNCTION("IMPORTRANGE(""https://docs.google.com/spreadsheets/d/1SX6NBoVAgQJ6U1MVXOaj8PK2l7WJ3RER9xtqwdhxkhw/edit?usp=sharing"",""ปราจีนบุรี!J207"")"),0.0)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IFERROR(__xludf.DUMMYFUNCTION("IMPORTRANGE(""https://docs.google.com/spreadsheets/d/1SX6NBoVAgQJ6U1MVXOaj8PK2l7WJ3RER9xtqwdhxkhw/edit?usp=sharing"",""ปราจีนบุรี!J208"")"),0.0)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IFERROR(__xludf.DUMMYFUNCTION("IMPORTRANGE(""https://docs.google.com/spreadsheets/d/1SX6NBoVAgQJ6U1MVXOaj8PK2l7WJ3RER9xtqwdhxkhw/edit?usp=sharing"",""ปราจีนบุรี!I209"")"),0.0)</f>
        <v>0</v>
      </c>
      <c r="J304" s="238">
        <f>IFERROR(__xludf.DUMMYFUNCTION("IMPORTRANGE(""https://docs.google.com/spreadsheets/d/1SX6NBoVAgQJ6U1MVXOaj8PK2l7WJ3RER9xtqwdhxkhw/edit?usp=sharing"",""ปราจีนบุรี!J209"")"),0.0)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IFERROR(__xludf.DUMMYFUNCTION("IMPORTRANGE(""https://docs.google.com/spreadsheets/d/1SX6NBoVAgQJ6U1MVXOaj8PK2l7WJ3RER9xtqwdhxkhw/edit?usp=sharing"",""ปราจีนบุรี!I211"")"),0.0)</f>
        <v>0</v>
      </c>
      <c r="J306" s="238">
        <f>IFERROR(__xludf.DUMMYFUNCTION("IMPORTRANGE(""https://docs.google.com/spreadsheets/d/1SX6NBoVAgQJ6U1MVXOaj8PK2l7WJ3RER9xtqwdhxkhw/edit?usp=sharing"",""ปราจีนบุรี!J211"")"),0.0)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IFERROR(__xludf.DUMMYFUNCTION("IMPORTRANGE(""https://docs.google.com/spreadsheets/d/1SX6NBoVAgQJ6U1MVXOaj8PK2l7WJ3RER9xtqwdhxkhw/edit?usp=sharing"",""ปราจีนบุรี!J212"")"),0.0)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IFERROR(__xludf.DUMMYFUNCTION("IMPORTRANGE(""https://docs.google.com/spreadsheets/d/1SX6NBoVAgQJ6U1MVXOaj8PK2l7WJ3RER9xtqwdhxkhw/edit?usp=sharing"",""ปราจีนบุรี!J213"")"),0.0)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IFERROR(__xludf.DUMMYFUNCTION("IMPORTRANGE(""https://docs.google.com/spreadsheets/d/1SX6NBoVAgQJ6U1MVXOaj8PK2l7WJ3RER9xtqwdhxkhw/edit?usp=sharing"",""ปราจีนบุรี!I214"")"),0.0)</f>
        <v>0</v>
      </c>
      <c r="J309" s="366">
        <f>IFERROR(__xludf.DUMMYFUNCTION("IMPORTRANGE(""https://docs.google.com/spreadsheets/d/1SX6NBoVAgQJ6U1MVXOaj8PK2l7WJ3RER9xtqwdhxkhw/edit?usp=sharing"",""ปราจีนบุรี!J214"")"),0.0)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IFERROR(__xludf.DUMMYFUNCTION("IMPORTRANGE(""https://docs.google.com/spreadsheets/d/1Yj_ptqi66GCucihVvJfMjLAmec39IyEx_6qawtMGysU/edit?usp=sharing"",""สบก!DC69"")"),0.0)</f>
        <v>0</v>
      </c>
      <c r="N314" s="203">
        <f>IFERROR(__xludf.DUMMYFUNCTION("IMPORTRANGE(""https://docs.google.com/spreadsheets/d/1Yj_ptqi66GCucihVvJfMjLAmec39IyEx_6qawtMGysU/edit?usp=sharing"",""สบก!DD69"")"),0.0)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IFERROR(__xludf.DUMMYFUNCTION("IMPORTRANGE(""https://docs.google.com/spreadsheets/d/1Yj_ptqi66GCucihVvJfMjLAmec39IyEx_6qawtMGysU/edit?usp=sharing"",""สบก!CY69"")"),0.0)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IFERROR(__xludf.DUMMYFUNCTION("IMPORTRANGE(""https://docs.google.com/spreadsheets/d/1Yj_ptqi66GCucihVvJfMjLAmec39IyEx_6qawtMGysU/edit?usp=sharing"",""สบก!CZ69"")"),0.0)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IFERROR(__xludf.DUMMYFUNCTION("IMPORTRANGE(""https://docs.google.com/spreadsheets/d/1Yj_ptqi66GCucihVvJfMjLAmec39IyEx_6qawtMGysU/edit?usp=sharing"",""สบก!DA69"")"),0.0)</f>
        <v>0</v>
      </c>
      <c r="M318" s="70"/>
      <c r="N318" s="70">
        <f>IFERROR(__xludf.DUMMYFUNCTION("IMPORTRANGE(""https://docs.google.com/spreadsheets/d/1Yj_ptqi66GCucihVvJfMjLAmec39IyEx_6qawtMGysU/edit?usp=sharing"",""สบก!DE69"")"),0.0)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IFERROR(__xludf.DUMMYFUNCTION("IMPORTRANGE(""https://docs.google.com/spreadsheets/d/1SX6NBoVAgQJ6U1MVXOaj8PK2l7WJ3RER9xtqwdhxkhw/edit?usp=sharing"",""ปราจีนบุรี!J220"")"),0.0)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IFERROR(__xludf.DUMMYFUNCTION("IMPORTRANGE(""https://docs.google.com/spreadsheets/d/1SX6NBoVAgQJ6U1MVXOaj8PK2l7WJ3RER9xtqwdhxkhw/edit?usp=sharing"",""ปราจีนบุรี!J221"")"),0.0)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IFERROR(__xludf.DUMMYFUNCTION("IMPORTRANGE(""https://docs.google.com/spreadsheets/d/1SX6NBoVAgQJ6U1MVXOaj8PK2l7WJ3RER9xtqwdhxkhw/edit?usp=sharing"",""ปราจีนบุรี!J222"")"),0.0)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IFERROR(__xludf.DUMMYFUNCTION("IMPORTRANGE(""https://docs.google.com/spreadsheets/d/1SX6NBoVAgQJ6U1MVXOaj8PK2l7WJ3RER9xtqwdhxkhw/edit?usp=sharing"",""ปราจีนบุรี!J223"")"),0.0)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IFERROR(__xludf.DUMMYFUNCTION("IMPORTRANGE(""https://docs.google.com/spreadsheets/d/1SX6NBoVAgQJ6U1MVXOaj8PK2l7WJ3RER9xtqwdhxkhw/edit?usp=sharing"",""ปราจีนบุรี!I224"")"),0.0)</f>
        <v>0</v>
      </c>
      <c r="J324" s="238">
        <f>IFERROR(__xludf.DUMMYFUNCTION("IMPORTRANGE(""https://docs.google.com/spreadsheets/d/1SX6NBoVAgQJ6U1MVXOaj8PK2l7WJ3RER9xtqwdhxkhw/edit?usp=sharing"",""ปราจีนบุรี!J224"")"),0.0)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IFERROR(__xludf.DUMMYFUNCTION("IMPORTRANGE(""https://docs.google.com/spreadsheets/d/1SX6NBoVAgQJ6U1MVXOaj8PK2l7WJ3RER9xtqwdhxkhw/edit?usp=sharing"",""ปราจีนบุรี!J225"")"),0.0)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IFERROR(__xludf.DUMMYFUNCTION("IMPORTRANGE(""https://docs.google.com/spreadsheets/d/1SX6NBoVAgQJ6U1MVXOaj8PK2l7WJ3RER9xtqwdhxkhw/edit?usp=sharing"",""ปราจีนบุรี!J226"")"),0.0)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IFERROR(__xludf.DUMMYFUNCTION("IMPORTRANGE(""https://docs.google.com/spreadsheets/d/1SX6NBoVAgQJ6U1MVXOaj8PK2l7WJ3RER9xtqwdhxkhw/edit?usp=sharing"",""ปราจีนบุรี!I228"")"),95.0)</f>
        <v>95</v>
      </c>
      <c r="J328" s="372">
        <f>IFERROR(__xludf.DUMMYFUNCTION("IMPORTRANGE(""https://docs.google.com/spreadsheets/d/1SX6NBoVAgQJ6U1MVXOaj8PK2l7WJ3RER9xtqwdhxkhw/edit?usp=sharing"",""ปราจีนบุรี!J228"")"),38.0)</f>
        <v>38</v>
      </c>
      <c r="K328" s="350">
        <f>IF(I328&gt;0,J328*100/I328,0)</f>
        <v>40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880650</v>
      </c>
      <c r="M329" s="183">
        <f t="shared" si="99"/>
        <v>461830</v>
      </c>
      <c r="N329" s="183">
        <f t="shared" si="99"/>
        <v>263917</v>
      </c>
      <c r="O329" s="182">
        <f t="shared" ref="O329:O331" si="101">IF(L329&gt;0,N329*100/L329,0)</f>
        <v>29.96843241</v>
      </c>
      <c r="P329" s="182">
        <f t="shared" ref="P329:P331" si="102">IF(M329&gt;0,N329*100/M329,0)</f>
        <v>57.14591949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880650</v>
      </c>
      <c r="M331" s="188">
        <f t="shared" si="103"/>
        <v>461830</v>
      </c>
      <c r="N331" s="188">
        <f t="shared" si="103"/>
        <v>263917</v>
      </c>
      <c r="O331" s="187">
        <f t="shared" si="101"/>
        <v>29.96843241</v>
      </c>
      <c r="P331" s="187">
        <f t="shared" si="102"/>
        <v>57.14591949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880650</v>
      </c>
      <c r="M333" s="200">
        <f>IFERROR(__xludf.DUMMYFUNCTION("IMPORTRANGE(""https://docs.google.com/spreadsheets/d/1Yj_ptqi66GCucihVvJfMjLAmec39IyEx_6qawtMGysU/edit?usp=sharing"",""สบก!DL69"")"),461830.0)</f>
        <v>461830</v>
      </c>
      <c r="N333" s="203">
        <f>IFERROR(__xludf.DUMMYFUNCTION("IMPORTRANGE(""https://docs.google.com/spreadsheets/d/1Yj_ptqi66GCucihVvJfMjLAmec39IyEx_6qawtMGysU/edit?usp=sharing"",""สบก!DM69"")"),263917.0)</f>
        <v>263917</v>
      </c>
      <c r="O333" s="203">
        <f>IF(L333&gt;0,N333*100/L333,0)</f>
        <v>29.96843241</v>
      </c>
      <c r="P333" s="203">
        <f>IF(M333&gt;0,N333*100/M333,0)</f>
        <v>57.14591949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IFERROR(__xludf.DUMMYFUNCTION("IMPORTRANGE(""https://docs.google.com/spreadsheets/d/1Yj_ptqi66GCucihVvJfMjLAmec39IyEx_6qawtMGysU/edit?usp=sharing"",""สบก!DH69"")"),583200.0)</f>
        <v>583200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IFERROR(__xludf.DUMMYFUNCTION("IMPORTRANGE(""https://docs.google.com/spreadsheets/d/1Yj_ptqi66GCucihVvJfMjLAmec39IyEx_6qawtMGysU/edit?usp=sharing"",""สบก!DI69"")"),297450.0)</f>
        <v>297450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IFERROR(__xludf.DUMMYFUNCTION("IMPORTRANGE(""https://docs.google.com/spreadsheets/d/1Yj_ptqi66GCucihVvJfMjLAmec39IyEx_6qawtMGysU/edit?usp=sharing"",""สบก!DJ69"")"),0.0)</f>
        <v>0</v>
      </c>
      <c r="M337" s="70"/>
      <c r="N337" s="70">
        <f>IFERROR(__xludf.DUMMYFUNCTION("IMPORTRANGE(""https://docs.google.com/spreadsheets/d/1Yj_ptqi66GCucihVvJfMjLAmec39IyEx_6qawtMGysU/edit?usp=sharing"",""สบก!DN69"")"),0.0)</f>
        <v>0</v>
      </c>
      <c r="O337" s="70">
        <f>IF(L337&gt;0,N337*100/L337,0)</f>
        <v>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IFERROR(__xludf.DUMMYFUNCTION("IMPORTRANGE(""https://docs.google.com/spreadsheets/d/1SX6NBoVAgQJ6U1MVXOaj8PK2l7WJ3RER9xtqwdhxkhw/edit?usp=sharing"",""ปราจีนบุรี!I234"")"),0.0)</f>
        <v>0</v>
      </c>
      <c r="J339" s="222">
        <f>IFERROR(__xludf.DUMMYFUNCTION("IMPORTRANGE(""https://docs.google.com/spreadsheets/d/1SX6NBoVAgQJ6U1MVXOaj8PK2l7WJ3RER9xtqwdhxkhw/edit?usp=sharing"",""ปราจีนบุรี!J234"")"),29.0)</f>
        <v>29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IFERROR(__xludf.DUMMYFUNCTION("IMPORTRANGE(""https://docs.google.com/spreadsheets/d/1SX6NBoVAgQJ6U1MVXOaj8PK2l7WJ3RER9xtqwdhxkhw/edit?usp=sharing"",""ปราจีนบุรี!I235"")"),1400.0)</f>
        <v>1400</v>
      </c>
      <c r="J340" s="222">
        <f>IFERROR(__xludf.DUMMYFUNCTION("IMPORTRANGE(""https://docs.google.com/spreadsheets/d/1SX6NBoVAgQJ6U1MVXOaj8PK2l7WJ3RER9xtqwdhxkhw/edit?usp=sharing"",""ปราจีนบุรี!J235"")"),286.01)</f>
        <v>286.01</v>
      </c>
      <c r="K340" s="375">
        <f t="shared" si="104"/>
        <v>20.42928571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IFERROR(__xludf.DUMMYFUNCTION("IMPORTRANGE(""https://docs.google.com/spreadsheets/d/1SX6NBoVAgQJ6U1MVXOaj8PK2l7WJ3RER9xtqwdhxkhw/edit?usp=sharing"",""ปราจีนบุรี!I236"")"),95.0)</f>
        <v>95</v>
      </c>
      <c r="J341" s="222">
        <f>IFERROR(__xludf.DUMMYFUNCTION("IMPORTRANGE(""https://docs.google.com/spreadsheets/d/1SX6NBoVAgQJ6U1MVXOaj8PK2l7WJ3RER9xtqwdhxkhw/edit?usp=sharing"",""ปราจีนบุรี!J236"")"),48.0)</f>
        <v>48</v>
      </c>
      <c r="K341" s="375">
        <f t="shared" si="104"/>
        <v>50.52631579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IFERROR(__xludf.DUMMYFUNCTION("IMPORTRANGE(""https://docs.google.com/spreadsheets/d/1SX6NBoVAgQJ6U1MVXOaj8PK2l7WJ3RER9xtqwdhxkhw/edit?usp=sharing"",""ปราจีนบุรี!I237"")"),0.0)</f>
        <v>0</v>
      </c>
      <c r="J342" s="222">
        <f>IFERROR(__xludf.DUMMYFUNCTION("IMPORTRANGE(""https://docs.google.com/spreadsheets/d/1SX6NBoVAgQJ6U1MVXOaj8PK2l7WJ3RER9xtqwdhxkhw/edit?usp=sharing"",""ปราจีนบุรี!J237"")"),786.58)</f>
        <v>786.58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IFERROR(__xludf.DUMMYFUNCTION("IMPORTRANGE(""https://docs.google.com/spreadsheets/d/1SX6NBoVAgQJ6U1MVXOaj8PK2l7WJ3RER9xtqwdhxkhw/edit?usp=sharing"",""ปราจีนบุรี!I238"")"),95.0)</f>
        <v>95</v>
      </c>
      <c r="J343" s="222">
        <f>IFERROR(__xludf.DUMMYFUNCTION("IMPORTRANGE(""https://docs.google.com/spreadsheets/d/1SX6NBoVAgQJ6U1MVXOaj8PK2l7WJ3RER9xtqwdhxkhw/edit?usp=sharing"",""ปราจีนบุรี!J238"")"),0.0)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IFERROR(__xludf.DUMMYFUNCTION("IMPORTRANGE(""https://docs.google.com/spreadsheets/d/1SX6NBoVAgQJ6U1MVXOaj8PK2l7WJ3RER9xtqwdhxkhw/edit?usp=sharing"",""ปราจีนบุรี!I239"")"),0.0)</f>
        <v>0</v>
      </c>
      <c r="J344" s="222">
        <f>IFERROR(__xludf.DUMMYFUNCTION("IMPORTRANGE(""https://docs.google.com/spreadsheets/d/1SX6NBoVAgQJ6U1MVXOaj8PK2l7WJ3RER9xtqwdhxkhw/edit?usp=sharing"",""ปราจีนบุรี!J239"")"),0.0)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IFERROR(__xludf.DUMMYFUNCTION("IMPORTRANGE(""https://docs.google.com/spreadsheets/d/1SX6NBoVAgQJ6U1MVXOaj8PK2l7WJ3RER9xtqwdhxkhw/edit?usp=sharing"",""ปราจีนบุรี!I240"")"),95.0)</f>
        <v>95</v>
      </c>
      <c r="J345" s="222">
        <f>IFERROR(__xludf.DUMMYFUNCTION("IMPORTRANGE(""https://docs.google.com/spreadsheets/d/1SX6NBoVAgQJ6U1MVXOaj8PK2l7WJ3RER9xtqwdhxkhw/edit?usp=sharing"",""ปราจีนบุรี!J240"")"),38.0)</f>
        <v>38</v>
      </c>
      <c r="K345" s="375">
        <f t="shared" si="104"/>
        <v>40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IFERROR(__xludf.DUMMYFUNCTION("IMPORTRANGE(""https://docs.google.com/spreadsheets/d/1SX6NBoVAgQJ6U1MVXOaj8PK2l7WJ3RER9xtqwdhxkhw/edit?usp=sharing"",""ปราจีนบุรี!I241"")"),0.0)</f>
        <v>0</v>
      </c>
      <c r="J346" s="222">
        <f>IFERROR(__xludf.DUMMYFUNCTION("IMPORTRANGE(""https://docs.google.com/spreadsheets/d/1SX6NBoVAgQJ6U1MVXOaj8PK2l7WJ3RER9xtqwdhxkhw/edit?usp=sharing"",""ปราจีนบุรี!J241"")"),706.53)</f>
        <v>706.53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IFERROR(__xludf.DUMMYFUNCTION("IMPORTRANGE(""https://docs.google.com/spreadsheets/d/1SX6NBoVAgQJ6U1MVXOaj8PK2l7WJ3RER9xtqwdhxkhw/edit?usp=sharing"",""ปราจีนบุรี!L242"")"),819826.0)</f>
        <v>819826</v>
      </c>
      <c r="M347" s="391"/>
      <c r="N347" s="391">
        <f>IFERROR(__xludf.DUMMYFUNCTION("IMPORTRANGE(""https://docs.google.com/spreadsheets/d/1SX6NBoVAgQJ6U1MVXOaj8PK2l7WJ3RER9xtqwdhxkhw/edit?usp=sharing"",""ปราจีนบุรี!M242"")"),9516.0)</f>
        <v>9516</v>
      </c>
      <c r="O347" s="391">
        <f>+IF(L347&gt;0,N347*100/L347,0)</f>
        <v>1.160734107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IFERROR(__xludf.DUMMYFUNCTION("IMPORTRANGE(""https://docs.google.com/spreadsheets/d/1SX6NBoVAgQJ6U1MVXOaj8PK2l7WJ3RER9xtqwdhxkhw/edit?usp=sharing"",""ปราจีนบุรี!I244"")"),60.0)</f>
        <v>60</v>
      </c>
      <c r="J349" s="404">
        <f>IFERROR(__xludf.DUMMYFUNCTION("IMPORTRANGE(""https://docs.google.com/spreadsheets/d/1SX6NBoVAgQJ6U1MVXOaj8PK2l7WJ3RER9xtqwdhxkhw/edit?usp=sharing"",""ปราจีนบุรี!J244"")"),0.0)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IFERROR(__xludf.DUMMYFUNCTION("IMPORTRANGE(""https://docs.google.com/spreadsheets/d/1SX6NBoVAgQJ6U1MVXOaj8PK2l7WJ3RER9xtqwdhxkhw/edit?usp=sharing"",""ปราจีนบุรี!L244"")"),93120.0)</f>
        <v>93120</v>
      </c>
      <c r="M349" s="406"/>
      <c r="N349" s="406">
        <f>IFERROR(__xludf.DUMMYFUNCTION("IMPORTRANGE(""https://docs.google.com/spreadsheets/d/1SX6NBoVAgQJ6U1MVXOaj8PK2l7WJ3RER9xtqwdhxkhw/edit?usp=sharing"",""ปราจีนบุรี!M244"")"),0.0)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IFERROR(__xludf.DUMMYFUNCTION("IMPORTRANGE(""https://docs.google.com/spreadsheets/d/1SX6NBoVAgQJ6U1MVXOaj8PK2l7WJ3RER9xtqwdhxkhw/edit?usp=sharing"",""ปราจีนบุรี!I245"")"),20.0)</f>
        <v>20</v>
      </c>
      <c r="J350" s="404">
        <f>IFERROR(__xludf.DUMMYFUNCTION("IMPORTRANGE(""https://docs.google.com/spreadsheets/d/1SX6NBoVAgQJ6U1MVXOaj8PK2l7WJ3RER9xtqwdhxkhw/edit?usp=sharing"",""ปราจีนบุรี!J245"")"),0.0)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IFERROR(__xludf.DUMMYFUNCTION("IMPORTRANGE(""https://docs.google.com/spreadsheets/d/1SX6NBoVAgQJ6U1MVXOaj8PK2l7WJ3RER9xtqwdhxkhw/edit?usp=sharing"",""ปราจีนบุรี!L246"")"),0.0)</f>
        <v>0</v>
      </c>
      <c r="M351" s="197"/>
      <c r="N351" s="197">
        <f>IFERROR(__xludf.DUMMYFUNCTION("IMPORTRANGE(""https://docs.google.com/spreadsheets/d/1SX6NBoVAgQJ6U1MVXOaj8PK2l7WJ3RER9xtqwdhxkhw/edit?usp=sharing"",""ปราจีนบุรี!M246"")"),0.0)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IFERROR(__xludf.DUMMYFUNCTION("IMPORTRANGE(""https://docs.google.com/spreadsheets/d/1SX6NBoVAgQJ6U1MVXOaj8PK2l7WJ3RER9xtqwdhxkhw/edit?usp=sharing"",""ปราจีนบุรี!L247"")"),93120.0)</f>
        <v>93120</v>
      </c>
      <c r="M352" s="198"/>
      <c r="N352" s="197">
        <f>IFERROR(__xludf.DUMMYFUNCTION("IMPORTRANGE(""https://docs.google.com/spreadsheets/d/1SX6NBoVAgQJ6U1MVXOaj8PK2l7WJ3RER9xtqwdhxkhw/edit?usp=sharing"",""ปราจีนบุรี!M247"")"),0.0)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IFERROR(__xludf.DUMMYFUNCTION("IMPORTRANGE(""https://docs.google.com/spreadsheets/d/1SX6NBoVAgQJ6U1MVXOaj8PK2l7WJ3RER9xtqwdhxkhw/edit?usp=sharing"",""ปราจีนบุรี!L248"")"),0.0)</f>
        <v>0</v>
      </c>
      <c r="M353" s="203"/>
      <c r="N353" s="203">
        <f>IFERROR(__xludf.DUMMYFUNCTION("IMPORTRANGE(""https://docs.google.com/spreadsheets/d/1SX6NBoVAgQJ6U1MVXOaj8PK2l7WJ3RER9xtqwdhxkhw/edit?usp=sharing"",""ปราจีนบุรี!M248"")"),0.0)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IFERROR(__xludf.DUMMYFUNCTION("IMPORTRANGE(""https://docs.google.com/spreadsheets/d/1SX6NBoVAgQJ6U1MVXOaj8PK2l7WJ3RER9xtqwdhxkhw/edit?usp=sharing"",""ปราจีนบุรี!L249"")"),93120.0)</f>
        <v>93120</v>
      </c>
      <c r="M354" s="203"/>
      <c r="N354" s="200">
        <f>IFERROR(__xludf.DUMMYFUNCTION("IMPORTRANGE(""https://docs.google.com/spreadsheets/d/1SX6NBoVAgQJ6U1MVXOaj8PK2l7WJ3RER9xtqwdhxkhw/edit?usp=sharing"",""ปราจีนบุรี!M249"")"),0.0)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IFERROR(__xludf.DUMMYFUNCTION("IMPORTRANGE(""https://docs.google.com/spreadsheets/d/1SX6NBoVAgQJ6U1MVXOaj8PK2l7WJ3RER9xtqwdhxkhw/edit?usp=sharing"",""ปราจีนบุรี!M250"")"),0.0)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IFERROR(__xludf.DUMMYFUNCTION("IMPORTRANGE(""https://docs.google.com/spreadsheets/d/1SX6NBoVAgQJ6U1MVXOaj8PK2l7WJ3RER9xtqwdhxkhw/edit?usp=sharing"",""ปราจีนบุรี!M251"")"),0.0)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IFERROR(__xludf.DUMMYFUNCTION("IMPORTRANGE(""https://docs.google.com/spreadsheets/d/1SX6NBoVAgQJ6U1MVXOaj8PK2l7WJ3RER9xtqwdhxkhw/edit?usp=sharing"",""ปราจีนบุรี!M252"")"),0.0)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IFERROR(__xludf.DUMMYFUNCTION("IMPORTRANGE(""https://docs.google.com/spreadsheets/d/1SX6NBoVAgQJ6U1MVXOaj8PK2l7WJ3RER9xtqwdhxkhw/edit?usp=sharing"",""ปราจีนบุรี!M253"")"),0.0)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IFERROR(__xludf.DUMMYFUNCTION("IMPORTRANGE(""https://docs.google.com/spreadsheets/d/1SX6NBoVAgQJ6U1MVXOaj8PK2l7WJ3RER9xtqwdhxkhw/edit?usp=sharing"",""ปราจีนบุรี!J255"")"),1.0)</f>
        <v>1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IFERROR(__xludf.DUMMYFUNCTION("IMPORTRANGE(""https://docs.google.com/spreadsheets/d/1SX6NBoVAgQJ6U1MVXOaj8PK2l7WJ3RER9xtqwdhxkhw/edit?usp=sharing"",""ปราจีนบุรี!J256"")"),0.0)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IFERROR(__xludf.DUMMYFUNCTION("IMPORTRANGE(""https://docs.google.com/spreadsheets/d/1SX6NBoVAgQJ6U1MVXOaj8PK2l7WJ3RER9xtqwdhxkhw/edit?usp=sharing"",""ปราจีนบุรี!J257"")"),0.0)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IFERROR(__xludf.DUMMYFUNCTION("IMPORTRANGE(""https://docs.google.com/spreadsheets/d/1SX6NBoVAgQJ6U1MVXOaj8PK2l7WJ3RER9xtqwdhxkhw/edit?usp=sharing"",""ปราจีนบุรี!J258"")"),0.0)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IFERROR(__xludf.DUMMYFUNCTION("IMPORTRANGE(""https://docs.google.com/spreadsheets/d/1SX6NBoVAgQJ6U1MVXOaj8PK2l7WJ3RER9xtqwdhxkhw/edit?usp=sharing"",""ปราจีนบุรี!J166"")"),0.0)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IFERROR(__xludf.DUMMYFUNCTION("IMPORTRANGE(""https://docs.google.com/spreadsheets/d/1SX6NBoVAgQJ6U1MVXOaj8PK2l7WJ3RER9xtqwdhxkhw/edit?usp=sharing"",""ปราจีนบุรี!J166"")"),0.0)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IFERROR(__xludf.DUMMYFUNCTION("IMPORTRANGE(""https://docs.google.com/spreadsheets/d/1SX6NBoVAgQJ6U1MVXOaj8PK2l7WJ3RER9xtqwdhxkhw/edit?usp=sharing"",""ปราจีนบุรี!J166"")"),0.0)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IFERROR(__xludf.DUMMYFUNCTION("IMPORTRANGE(""https://docs.google.com/spreadsheets/d/1SX6NBoVAgQJ6U1MVXOaj8PK2l7WJ3RER9xtqwdhxkhw/edit?usp=sharing"",""ปราจีนบุรี!J166"")"),0.0)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IFERROR(__xludf.DUMMYFUNCTION("IMPORTRANGE(""https://docs.google.com/spreadsheets/d/1SX6NBoVAgQJ6U1MVXOaj8PK2l7WJ3RER9xtqwdhxkhw/edit?usp=sharing"",""ปราจีนบุรี!I263"")"),20.0)</f>
        <v>20</v>
      </c>
      <c r="J368" s="222">
        <f>IFERROR(__xludf.DUMMYFUNCTION("IMPORTRANGE(""https://docs.google.com/spreadsheets/d/1SX6NBoVAgQJ6U1MVXOaj8PK2l7WJ3RER9xtqwdhxkhw/edit?usp=sharing"",""ปราจีนบุรี!J263"")"),0.0)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IFERROR(__xludf.DUMMYFUNCTION("IMPORTRANGE(""https://docs.google.com/spreadsheets/d/1SX6NBoVAgQJ6U1MVXOaj8PK2l7WJ3RER9xtqwdhxkhw/edit?usp=sharing"",""ปราจีนบุรี!I164"")"),0.0)</f>
        <v>0</v>
      </c>
      <c r="J369" s="238">
        <f>IFERROR(__xludf.DUMMYFUNCTION("IMPORTRANGE(""https://docs.google.com/spreadsheets/d/1SX6NBoVAgQJ6U1MVXOaj8PK2l7WJ3RER9xtqwdhxkhw/edit?usp=sharing"",""ปราจีนบุรี!J164"")"),0.0)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IFERROR(__xludf.DUMMYFUNCTION("IMPORTRANGE(""https://docs.google.com/spreadsheets/d/1SX6NBoVAgQJ6U1MVXOaj8PK2l7WJ3RER9xtqwdhxkhw/edit?usp=sharing"",""ปราจีนบุรี!I265"")"),20.0)</f>
        <v>20</v>
      </c>
      <c r="J370" s="238">
        <f>IFERROR(__xludf.DUMMYFUNCTION("IMPORTRANGE(""https://docs.google.com/spreadsheets/d/1SX6NBoVAgQJ6U1MVXOaj8PK2l7WJ3RER9xtqwdhxkhw/edit?usp=sharing"",""ปราจีนบุรี!J265"")"),0.0)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IFERROR(__xludf.DUMMYFUNCTION("IMPORTRANGE(""https://docs.google.com/spreadsheets/d/1SX6NBoVAgQJ6U1MVXOaj8PK2l7WJ3RER9xtqwdhxkhw/edit?usp=sharing"",""ปราจีนบุรี!I164"")"),0.0)</f>
        <v>0</v>
      </c>
      <c r="J371" s="223">
        <f>IFERROR(__xludf.DUMMYFUNCTION("IMPORTRANGE(""https://docs.google.com/spreadsheets/d/1SX6NBoVAgQJ6U1MVXOaj8PK2l7WJ3RER9xtqwdhxkhw/edit?usp=sharing"",""ปราจีนบุรี!J164"")"),0.0)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IFERROR(__xludf.DUMMYFUNCTION("IMPORTRANGE(""https://docs.google.com/spreadsheets/d/1SX6NBoVAgQJ6U1MVXOaj8PK2l7WJ3RER9xtqwdhxkhw/edit?usp=sharing"",""ปราจีนบุรี!I267"")"),20.0)</f>
        <v>20</v>
      </c>
      <c r="J372" s="223">
        <f>IFERROR(__xludf.DUMMYFUNCTION("IMPORTRANGE(""https://docs.google.com/spreadsheets/d/1SX6NBoVAgQJ6U1MVXOaj8PK2l7WJ3RER9xtqwdhxkhw/edit?usp=sharing"",""ปราจีนบุรี!J267"")"),0.0)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IFERROR(__xludf.DUMMYFUNCTION("IMPORTRANGE(""https://docs.google.com/spreadsheets/d/1SX6NBoVAgQJ6U1MVXOaj8PK2l7WJ3RER9xtqwdhxkhw/edit?usp=sharing"",""ปราจีนบุรี!I164"")"),0.0)</f>
        <v>0</v>
      </c>
      <c r="J373" s="238">
        <f>IFERROR(__xludf.DUMMYFUNCTION("IMPORTRANGE(""https://docs.google.com/spreadsheets/d/1SX6NBoVAgQJ6U1MVXOaj8PK2l7WJ3RER9xtqwdhxkhw/edit?usp=sharing"",""ปราจีนบุรี!J164"")"),0.0)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IFERROR(__xludf.DUMMYFUNCTION("IMPORTRANGE(""https://docs.google.com/spreadsheets/d/1SX6NBoVAgQJ6U1MVXOaj8PK2l7WJ3RER9xtqwdhxkhw/edit?usp=sharing"",""ปราจีนบุรี!I164"")"),0.0)</f>
        <v>0</v>
      </c>
      <c r="J374" s="222">
        <f>IFERROR(__xludf.DUMMYFUNCTION("IMPORTRANGE(""https://docs.google.com/spreadsheets/d/1SX6NBoVAgQJ6U1MVXOaj8PK2l7WJ3RER9xtqwdhxkhw/edit?usp=sharing"",""ปราจีนบุรี!J164"")"),0.0)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IFERROR(__xludf.DUMMYFUNCTION("IMPORTRANGE(""https://docs.google.com/spreadsheets/d/1SX6NBoVAgQJ6U1MVXOaj8PK2l7WJ3RER9xtqwdhxkhw/edit?usp=sharing"",""ปราจีนบุรี!I270"")"),60.0)</f>
        <v>60</v>
      </c>
      <c r="J375" s="222">
        <f>IFERROR(__xludf.DUMMYFUNCTION("IMPORTRANGE(""https://docs.google.com/spreadsheets/d/1SX6NBoVAgQJ6U1MVXOaj8PK2l7WJ3RER9xtqwdhxkhw/edit?usp=sharing"",""ปราจีนบุรี!J270"")"),0.0)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IFERROR(__xludf.DUMMYFUNCTION("IMPORTRANGE(""https://docs.google.com/spreadsheets/d/1SX6NBoVAgQJ6U1MVXOaj8PK2l7WJ3RER9xtqwdhxkhw/edit?usp=sharing"",""ปราจีนบุรี!I271"")"),0.0)</f>
        <v>0</v>
      </c>
      <c r="J376" s="223">
        <f>IFERROR(__xludf.DUMMYFUNCTION("IMPORTRANGE(""https://docs.google.com/spreadsheets/d/1SX6NBoVAgQJ6U1MVXOaj8PK2l7WJ3RER9xtqwdhxkhw/edit?usp=sharing"",""ปราจีนบุรี!J271"")"),0.0)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IFERROR(__xludf.DUMMYFUNCTION("IMPORTRANGE(""https://docs.google.com/spreadsheets/d/1SX6NBoVAgQJ6U1MVXOaj8PK2l7WJ3RER9xtqwdhxkhw/edit?usp=sharing"",""ปราจีนบุรี!I272"")"),60.0)</f>
        <v>60</v>
      </c>
      <c r="J377" s="238">
        <f>IFERROR(__xludf.DUMMYFUNCTION("IMPORTRANGE(""https://docs.google.com/spreadsheets/d/1SX6NBoVAgQJ6U1MVXOaj8PK2l7WJ3RER9xtqwdhxkhw/edit?usp=sharing"",""ปราจีนบุรี!J272"")"),0.0)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IFERROR(__xludf.DUMMYFUNCTION("IMPORTRANGE(""https://docs.google.com/spreadsheets/d/1SX6NBoVAgQJ6U1MVXOaj8PK2l7WJ3RER9xtqwdhxkhw/edit?usp=sharing"",""ปราจีนบุรี!J273"")"),0.0)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IFERROR(__xludf.DUMMYFUNCTION("IMPORTRANGE(""https://docs.google.com/spreadsheets/d/1SX6NBoVAgQJ6U1MVXOaj8PK2l7WJ3RER9xtqwdhxkhw/edit?usp=sharing"",""ปราจีนบุรี!J274"")"),0.0)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IFERROR(__xludf.DUMMYFUNCTION("IMPORTRANGE(""https://docs.google.com/spreadsheets/d/1SX6NBoVAgQJ6U1MVXOaj8PK2l7WJ3RER9xtqwdhxkhw/edit?usp=sharing"",""ปราจีนบุรี!I275"")"),200.0)</f>
        <v>200</v>
      </c>
      <c r="J380" s="404">
        <f>IFERROR(__xludf.DUMMYFUNCTION("IMPORTRANGE(""https://docs.google.com/spreadsheets/d/1SX6NBoVAgQJ6U1MVXOaj8PK2l7WJ3RER9xtqwdhxkhw/edit?usp=sharing"",""ปราจีนบุรี!J275"")"),0.0)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IFERROR(__xludf.DUMMYFUNCTION("IMPORTRANGE(""https://docs.google.com/spreadsheets/d/1SX6NBoVAgQJ6U1MVXOaj8PK2l7WJ3RER9xtqwdhxkhw/edit?usp=sharing"",""ปราจีนบุรี!L275"")"),207560.0)</f>
        <v>207560</v>
      </c>
      <c r="M380" s="406"/>
      <c r="N380" s="406">
        <f>IFERROR(__xludf.DUMMYFUNCTION("IMPORTRANGE(""https://docs.google.com/spreadsheets/d/1SX6NBoVAgQJ6U1MVXOaj8PK2l7WJ3RER9xtqwdhxkhw/edit?usp=sharing"",""ปราจีนบุรี!M275"")"),0.0)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IFERROR(__xludf.DUMMYFUNCTION("IMPORTRANGE(""https://docs.google.com/spreadsheets/d/1SX6NBoVAgQJ6U1MVXOaj8PK2l7WJ3RER9xtqwdhxkhw/edit?usp=sharing"",""ปราจีนบุรี!I276"")"),20.0)</f>
        <v>20</v>
      </c>
      <c r="J381" s="404">
        <f>IFERROR(__xludf.DUMMYFUNCTION("IMPORTRANGE(""https://docs.google.com/spreadsheets/d/1SX6NBoVAgQJ6U1MVXOaj8PK2l7WJ3RER9xtqwdhxkhw/edit?usp=sharing"",""ปราจีนบุรี!J276"")"),0.0)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IFERROR(__xludf.DUMMYFUNCTION("IMPORTRANGE(""https://docs.google.com/spreadsheets/d/1SX6NBoVAgQJ6U1MVXOaj8PK2l7WJ3RER9xtqwdhxkhw/edit?usp=sharing"",""ปราจีนบุรี!L277"")"),0.0)</f>
        <v>0</v>
      </c>
      <c r="M382" s="197"/>
      <c r="N382" s="197">
        <f>IFERROR(__xludf.DUMMYFUNCTION("IMPORTRANGE(""https://docs.google.com/spreadsheets/d/1SX6NBoVAgQJ6U1MVXOaj8PK2l7WJ3RER9xtqwdhxkhw/edit?usp=sharing"",""ปราจีนบุรี!M277"")"),0.0)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IFERROR(__xludf.DUMMYFUNCTION("IMPORTRANGE(""https://docs.google.com/spreadsheets/d/1SX6NBoVAgQJ6U1MVXOaj8PK2l7WJ3RER9xtqwdhxkhw/edit?usp=sharing"",""ปราจีนบุรี!L278"")"),207560.0)</f>
        <v>207560</v>
      </c>
      <c r="M383" s="198"/>
      <c r="N383" s="198">
        <f>IFERROR(__xludf.DUMMYFUNCTION("IMPORTRANGE(""https://docs.google.com/spreadsheets/d/1SX6NBoVAgQJ6U1MVXOaj8PK2l7WJ3RER9xtqwdhxkhw/edit?usp=sharing"",""ปราจีนบุรี!M278"")"),0.0)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IFERROR(__xludf.DUMMYFUNCTION("IMPORTRANGE(""https://docs.google.com/spreadsheets/d/1SX6NBoVAgQJ6U1MVXOaj8PK2l7WJ3RER9xtqwdhxkhw/edit?usp=sharing"",""ปราจีนบุรี!L279"")"),0.0)</f>
        <v>0</v>
      </c>
      <c r="M384" s="203"/>
      <c r="N384" s="203">
        <f>IFERROR(__xludf.DUMMYFUNCTION("IMPORTRANGE(""https://docs.google.com/spreadsheets/d/1SX6NBoVAgQJ6U1MVXOaj8PK2l7WJ3RER9xtqwdhxkhw/edit?usp=sharing"",""ปราจีนบุรี!M279"")"),0.0)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IFERROR(__xludf.DUMMYFUNCTION("IMPORTRANGE(""https://docs.google.com/spreadsheets/d/1SX6NBoVAgQJ6U1MVXOaj8PK2l7WJ3RER9xtqwdhxkhw/edit?usp=sharing"",""ปราจีนบุรี!L280"")"),207560.0)</f>
        <v>207560</v>
      </c>
      <c r="M385" s="203"/>
      <c r="N385" s="200">
        <f>IFERROR(__xludf.DUMMYFUNCTION("IMPORTRANGE(""https://docs.google.com/spreadsheets/d/1SX6NBoVAgQJ6U1MVXOaj8PK2l7WJ3RER9xtqwdhxkhw/edit?usp=sharing"",""ปราจีนบุรี!M280"")"),0.0)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IFERROR(__xludf.DUMMYFUNCTION("IMPORTRANGE(""https://docs.google.com/spreadsheets/d/1SX6NBoVAgQJ6U1MVXOaj8PK2l7WJ3RER9xtqwdhxkhw/edit?usp=sharing"",""ปราจีนบุรี!M281"")"),0.0)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IFERROR(__xludf.DUMMYFUNCTION("IMPORTRANGE(""https://docs.google.com/spreadsheets/d/1SX6NBoVAgQJ6U1MVXOaj8PK2l7WJ3RER9xtqwdhxkhw/edit?usp=sharing"",""ปราจีนบุรี!M282"")"),0.0)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IFERROR(__xludf.DUMMYFUNCTION("IMPORTRANGE(""https://docs.google.com/spreadsheets/d/1SX6NBoVAgQJ6U1MVXOaj8PK2l7WJ3RER9xtqwdhxkhw/edit?usp=sharing"",""ปราจีนบุรี!M283"")"),0.0)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IFERROR(__xludf.DUMMYFUNCTION("IMPORTRANGE(""https://docs.google.com/spreadsheets/d/1SX6NBoVAgQJ6U1MVXOaj8PK2l7WJ3RER9xtqwdhxkhw/edit?usp=sharing"",""ปราจีนบุรี!M284"")"),0.0)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IFERROR(__xludf.DUMMYFUNCTION("IMPORTRANGE(""https://docs.google.com/spreadsheets/d/1SX6NBoVAgQJ6U1MVXOaj8PK2l7WJ3RER9xtqwdhxkhw/edit?usp=sharing"",""ปราจีนบุรี!J286"")"),1.0)</f>
        <v>1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IFERROR(__xludf.DUMMYFUNCTION("IMPORTRANGE(""https://docs.google.com/spreadsheets/d/1SX6NBoVAgQJ6U1MVXOaj8PK2l7WJ3RER9xtqwdhxkhw/edit?usp=sharing"",""ปราจีนบุรี!J287"")"),0.0)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IFERROR(__xludf.DUMMYFUNCTION("IMPORTRANGE(""https://docs.google.com/spreadsheets/d/1SX6NBoVAgQJ6U1MVXOaj8PK2l7WJ3RER9xtqwdhxkhw/edit?usp=sharing"",""ปราจีนบุรี!J288"")"),0.0)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IFERROR(__xludf.DUMMYFUNCTION("IMPORTRANGE(""https://docs.google.com/spreadsheets/d/1SX6NBoVAgQJ6U1MVXOaj8PK2l7WJ3RER9xtqwdhxkhw/edit?usp=sharing"",""ปราจีนบุรี!J289"")"),0.0)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IFERROR(__xludf.DUMMYFUNCTION("IMPORTRANGE(""https://docs.google.com/spreadsheets/d/1SX6NBoVAgQJ6U1MVXOaj8PK2l7WJ3RER9xtqwdhxkhw/edit?usp=sharing"",""ปราจีนบุรี!I291"")"),20.0)</f>
        <v>20</v>
      </c>
      <c r="J396" s="232">
        <f>IFERROR(__xludf.DUMMYFUNCTION("IMPORTRANGE(""https://docs.google.com/spreadsheets/d/1SX6NBoVAgQJ6U1MVXOaj8PK2l7WJ3RER9xtqwdhxkhw/edit?usp=sharing"",""ปราจีนบุรี!J291"")"),0.0)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IFERROR(__xludf.DUMMYFUNCTION("IMPORTRANGE(""https://docs.google.com/spreadsheets/d/1SX6NBoVAgQJ6U1MVXOaj8PK2l7WJ3RER9xtqwdhxkhw/edit?usp=sharing"",""ปราจีนบุรี!I292"")"),200.0)</f>
        <v>200</v>
      </c>
      <c r="J397" s="232">
        <f>IFERROR(__xludf.DUMMYFUNCTION("IMPORTRANGE(""https://docs.google.com/spreadsheets/d/1SX6NBoVAgQJ6U1MVXOaj8PK2l7WJ3RER9xtqwdhxkhw/edit?usp=sharing"",""ปราจีนบุรี!J292"")"),0.0)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IFERROR(__xludf.DUMMYFUNCTION("IMPORTRANGE(""https://docs.google.com/spreadsheets/d/1SX6NBoVAgQJ6U1MVXOaj8PK2l7WJ3RER9xtqwdhxkhw/edit?usp=sharing"",""ปราจีนบุรี!I293"")"),20.0)</f>
        <v>20</v>
      </c>
      <c r="J398" s="232">
        <f>IFERROR(__xludf.DUMMYFUNCTION("IMPORTRANGE(""https://docs.google.com/spreadsheets/d/1SX6NBoVAgQJ6U1MVXOaj8PK2l7WJ3RER9xtqwdhxkhw/edit?usp=sharing"",""ปราจีนบุรี!J293"")"),0.0)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IFERROR(__xludf.DUMMYFUNCTION("IMPORTRANGE(""https://docs.google.com/spreadsheets/d/1SX6NBoVAgQJ6U1MVXOaj8PK2l7WJ3RER9xtqwdhxkhw/edit?usp=sharing"",""ปราจีนบุรี!J294"")"),0.0)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IFERROR(__xludf.DUMMYFUNCTION("IMPORTRANGE(""https://docs.google.com/spreadsheets/d/1SX6NBoVAgQJ6U1MVXOaj8PK2l7WJ3RER9xtqwdhxkhw/edit?usp=sharing"",""ปราจีนบุรี!J295"")"),0.0)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IFERROR(__xludf.DUMMYFUNCTION("IMPORTRANGE(""https://docs.google.com/spreadsheets/d/1SX6NBoVAgQJ6U1MVXOaj8PK2l7WJ3RER9xtqwdhxkhw/edit?usp=sharing"",""ปราจีนบุรี!I296"")"),90.0)</f>
        <v>90</v>
      </c>
      <c r="J401" s="404">
        <f>IFERROR(__xludf.DUMMYFUNCTION("IMPORTRANGE(""https://docs.google.com/spreadsheets/d/1SX6NBoVAgQJ6U1MVXOaj8PK2l7WJ3RER9xtqwdhxkhw/edit?usp=sharing"",""ปราจีนบุรี!J296"")"),0.0)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IFERROR(__xludf.DUMMYFUNCTION("IMPORTRANGE(""https://docs.google.com/spreadsheets/d/1SX6NBoVAgQJ6U1MVXOaj8PK2l7WJ3RER9xtqwdhxkhw/edit?usp=sharing"",""ปราจีนบุรี!L296"")"),116320.0)</f>
        <v>116320</v>
      </c>
      <c r="M401" s="406"/>
      <c r="N401" s="406">
        <f>IFERROR(__xludf.DUMMYFUNCTION("IMPORTRANGE(""https://docs.google.com/spreadsheets/d/1SX6NBoVAgQJ6U1MVXOaj8PK2l7WJ3RER9xtqwdhxkhw/edit?usp=sharing"",""ปราจีนบุรี!M296"")"),0.0)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IFERROR(__xludf.DUMMYFUNCTION("IMPORTRANGE(""https://docs.google.com/spreadsheets/d/1SX6NBoVAgQJ6U1MVXOaj8PK2l7WJ3RER9xtqwdhxkhw/edit?usp=sharing"",""ปราจีนบุรี!I297"")"),30.0)</f>
        <v>30</v>
      </c>
      <c r="J402" s="404">
        <f>IFERROR(__xludf.DUMMYFUNCTION("IMPORTRANGE(""https://docs.google.com/spreadsheets/d/1SX6NBoVAgQJ6U1MVXOaj8PK2l7WJ3RER9xtqwdhxkhw/edit?usp=sharing"",""ปราจีนบุรี!J297"")"),0.0)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IFERROR(__xludf.DUMMYFUNCTION("IMPORTRANGE(""https://docs.google.com/spreadsheets/d/1SX6NBoVAgQJ6U1MVXOaj8PK2l7WJ3RER9xtqwdhxkhw/edit?usp=sharing"",""ปราจีนบุรี!L298"")"),0.0)</f>
        <v>0</v>
      </c>
      <c r="M403" s="197"/>
      <c r="N403" s="203">
        <f>IFERROR(__xludf.DUMMYFUNCTION("IMPORTRANGE(""https://docs.google.com/spreadsheets/d/1SX6NBoVAgQJ6U1MVXOaj8PK2l7WJ3RER9xtqwdhxkhw/edit?usp=sharing"",""ปราจีนบุรี!M298"")"),0.0)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IFERROR(__xludf.DUMMYFUNCTION("IMPORTRANGE(""https://docs.google.com/spreadsheets/d/1SX6NBoVAgQJ6U1MVXOaj8PK2l7WJ3RER9xtqwdhxkhw/edit?usp=sharing"",""ปราจีนบุรี!L299"")"),116320.0)</f>
        <v>116320</v>
      </c>
      <c r="M404" s="198"/>
      <c r="N404" s="203">
        <f>IFERROR(__xludf.DUMMYFUNCTION("IMPORTRANGE(""https://docs.google.com/spreadsheets/d/1SX6NBoVAgQJ6U1MVXOaj8PK2l7WJ3RER9xtqwdhxkhw/edit?usp=sharing"",""ปราจีนบุรี!M299"")"),0.0)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IFERROR(__xludf.DUMMYFUNCTION("IMPORTRANGE(""https://docs.google.com/spreadsheets/d/1SX6NBoVAgQJ6U1MVXOaj8PK2l7WJ3RER9xtqwdhxkhw/edit?usp=sharing"",""ปราจีนบุรี!L300"")"),0.0)</f>
        <v>0</v>
      </c>
      <c r="M405" s="203"/>
      <c r="N405" s="203">
        <f>IFERROR(__xludf.DUMMYFUNCTION("IMPORTRANGE(""https://docs.google.com/spreadsheets/d/1SX6NBoVAgQJ6U1MVXOaj8PK2l7WJ3RER9xtqwdhxkhw/edit?usp=sharing"",""ปราจีนบุรี!M300"")"),0.0)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IFERROR(__xludf.DUMMYFUNCTION("IMPORTRANGE(""https://docs.google.com/spreadsheets/d/1SX6NBoVAgQJ6U1MVXOaj8PK2l7WJ3RER9xtqwdhxkhw/edit?usp=sharing"",""ปราจีนบุรี!L301"")"),116320.0)</f>
        <v>116320</v>
      </c>
      <c r="M406" s="203"/>
      <c r="N406" s="203">
        <f>IFERROR(__xludf.DUMMYFUNCTION("IMPORTRANGE(""https://docs.google.com/spreadsheets/d/1SX6NBoVAgQJ6U1MVXOaj8PK2l7WJ3RER9xtqwdhxkhw/edit?usp=sharing"",""ปราจีนบุรี!M301"")"),0.0)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IFERROR(__xludf.DUMMYFUNCTION("IMPORTRANGE(""https://docs.google.com/spreadsheets/d/1SX6NBoVAgQJ6U1MVXOaj8PK2l7WJ3RER9xtqwdhxkhw/edit?usp=sharing"",""ปราจีนบุรี!M302"")"),0.0)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IFERROR(__xludf.DUMMYFUNCTION("IMPORTRANGE(""https://docs.google.com/spreadsheets/d/1SX6NBoVAgQJ6U1MVXOaj8PK2l7WJ3RER9xtqwdhxkhw/edit?usp=sharing"",""ปราจีนบุรี!M303"")"),0.0)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IFERROR(__xludf.DUMMYFUNCTION("IMPORTRANGE(""https://docs.google.com/spreadsheets/d/1SX6NBoVAgQJ6U1MVXOaj8PK2l7WJ3RER9xtqwdhxkhw/edit?usp=sharing"",""ปราจีนบุรี!M304"")"),0.0)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IFERROR(__xludf.DUMMYFUNCTION("IMPORTRANGE(""https://docs.google.com/spreadsheets/d/1SX6NBoVAgQJ6U1MVXOaj8PK2l7WJ3RER9xtqwdhxkhw/edit?usp=sharing"",""ปราจีนบุรี!M305"")"),0.0)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IFERROR(__xludf.DUMMYFUNCTION("IMPORTRANGE(""https://docs.google.com/spreadsheets/d/1SX6NBoVAgQJ6U1MVXOaj8PK2l7WJ3RER9xtqwdhxkhw/edit?usp=sharing"",""ปราจีนบุรี!J307"")"),1.0)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IFERROR(__xludf.DUMMYFUNCTION("IMPORTRANGE(""https://docs.google.com/spreadsheets/d/1SX6NBoVAgQJ6U1MVXOaj8PK2l7WJ3RER9xtqwdhxkhw/edit?usp=sharing"",""ปราจีนบุรี!J308"")"),0.0)</f>
        <v>0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IFERROR(__xludf.DUMMYFUNCTION("IMPORTRANGE(""https://docs.google.com/spreadsheets/d/1SX6NBoVAgQJ6U1MVXOaj8PK2l7WJ3RER9xtqwdhxkhw/edit?usp=sharing"",""ปราจีนบุรี!J309"")"),0.0)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IFERROR(__xludf.DUMMYFUNCTION("IMPORTRANGE(""https://docs.google.com/spreadsheets/d/1SX6NBoVAgQJ6U1MVXOaj8PK2l7WJ3RER9xtqwdhxkhw/edit?usp=sharing"",""ปราจีนบุรี!J310"")"),0.0)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IFERROR(__xludf.DUMMYFUNCTION("IMPORTRANGE(""https://docs.google.com/spreadsheets/d/1SX6NBoVAgQJ6U1MVXOaj8PK2l7WJ3RER9xtqwdhxkhw/edit?usp=sharing"",""ปราจีนบุรี!I311"")"),30.0)</f>
        <v>30</v>
      </c>
      <c r="J416" s="235">
        <f>IFERROR(__xludf.DUMMYFUNCTION("IMPORTRANGE(""https://docs.google.com/spreadsheets/d/1SX6NBoVAgQJ6U1MVXOaj8PK2l7WJ3RER9xtqwdhxkhw/edit?usp=sharing"",""ปราจีนบุรี!J311"")"),0.0)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IFERROR(__xludf.DUMMYFUNCTION("IMPORTRANGE(""https://docs.google.com/spreadsheets/d/1SX6NBoVAgQJ6U1MVXOaj8PK2l7WJ3RER9xtqwdhxkhw/edit?usp=sharing"",""ปราจีนบุรี!I312"")"),10.0)</f>
        <v>10</v>
      </c>
      <c r="J417" s="425">
        <f>IFERROR(__xludf.DUMMYFUNCTION("IMPORTRANGE(""https://docs.google.com/spreadsheets/d/1SX6NBoVAgQJ6U1MVXOaj8PK2l7WJ3RER9xtqwdhxkhw/edit?usp=sharing"",""ปราจีนบุรี!J312"")"),0.0)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IFERROR(__xludf.DUMMYFUNCTION("IMPORTRANGE(""https://docs.google.com/spreadsheets/d/1SX6NBoVAgQJ6U1MVXOaj8PK2l7WJ3RER9xtqwdhxkhw/edit?usp=sharing"",""ปราจีนบุรี!I313"")"),30.0)</f>
        <v>30</v>
      </c>
      <c r="J418" s="426">
        <f>IFERROR(__xludf.DUMMYFUNCTION("IMPORTRANGE(""https://docs.google.com/spreadsheets/d/1SX6NBoVAgQJ6U1MVXOaj8PK2l7WJ3RER9xtqwdhxkhw/edit?usp=sharing"",""ปราจีนบุรี!J313"")"),0.0)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IFERROR(__xludf.DUMMYFUNCTION("IMPORTRANGE(""https://docs.google.com/spreadsheets/d/1SX6NBoVAgQJ6U1MVXOaj8PK2l7WJ3RER9xtqwdhxkhw/edit?usp=sharing"",""ปราจีนบุรี!I314"")"),10.0)</f>
        <v>10</v>
      </c>
      <c r="J419" s="427">
        <f>IFERROR(__xludf.DUMMYFUNCTION("IMPORTRANGE(""https://docs.google.com/spreadsheets/d/1SX6NBoVAgQJ6U1MVXOaj8PK2l7WJ3RER9xtqwdhxkhw/edit?usp=sharing"",""ปราจีนบุรี!J314"")"),0.0)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IFERROR(__xludf.DUMMYFUNCTION("IMPORTRANGE(""https://docs.google.com/spreadsheets/d/1SX6NBoVAgQJ6U1MVXOaj8PK2l7WJ3RER9xtqwdhxkhw/edit?usp=sharing"",""ปราจีนบุรี!I315"")"),10.0)</f>
        <v>10</v>
      </c>
      <c r="J420" s="427">
        <f>IFERROR(__xludf.DUMMYFUNCTION("IMPORTRANGE(""https://docs.google.com/spreadsheets/d/1SX6NBoVAgQJ6U1MVXOaj8PK2l7WJ3RER9xtqwdhxkhw/edit?usp=sharing"",""ปราจีนบุรี!J315"")"),0.0)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IFERROR(__xludf.DUMMYFUNCTION("IMPORTRANGE(""https://docs.google.com/spreadsheets/d/1SX6NBoVAgQJ6U1MVXOaj8PK2l7WJ3RER9xtqwdhxkhw/edit?usp=sharing"",""ปราจีนบุรี!I316"")"),10.0)</f>
        <v>10</v>
      </c>
      <c r="J421" s="425">
        <f>IFERROR(__xludf.DUMMYFUNCTION("IMPORTRANGE(""https://docs.google.com/spreadsheets/d/1SX6NBoVAgQJ6U1MVXOaj8PK2l7WJ3RER9xtqwdhxkhw/edit?usp=sharing"",""ปราจีนบุรี!J316"")"),0.0)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IFERROR(__xludf.DUMMYFUNCTION("IMPORTRANGE(""https://docs.google.com/spreadsheets/d/1SX6NBoVAgQJ6U1MVXOaj8PK2l7WJ3RER9xtqwdhxkhw/edit?usp=sharing"",""ปราจีนบุรี!I317"")"),30.0)</f>
        <v>30</v>
      </c>
      <c r="J422" s="426">
        <f>IFERROR(__xludf.DUMMYFUNCTION("IMPORTRANGE(""https://docs.google.com/spreadsheets/d/1SX6NBoVAgQJ6U1MVXOaj8PK2l7WJ3RER9xtqwdhxkhw/edit?usp=sharing"",""ปราจีนบุรี!J317"")"),0.0)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IFERROR(__xludf.DUMMYFUNCTION("IMPORTRANGE(""https://docs.google.com/spreadsheets/d/1SX6NBoVAgQJ6U1MVXOaj8PK2l7WJ3RER9xtqwdhxkhw/edit?usp=sharing"",""ปราจีนบุรี!I318"")"),10.0)</f>
        <v>10</v>
      </c>
      <c r="J423" s="427">
        <f>IFERROR(__xludf.DUMMYFUNCTION("IMPORTRANGE(""https://docs.google.com/spreadsheets/d/1SX6NBoVAgQJ6U1MVXOaj8PK2l7WJ3RER9xtqwdhxkhw/edit?usp=sharing"",""ปราจีนบุรี!J318"")"),0.0)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IFERROR(__xludf.DUMMYFUNCTION("IMPORTRANGE(""https://docs.google.com/spreadsheets/d/1SX6NBoVAgQJ6U1MVXOaj8PK2l7WJ3RER9xtqwdhxkhw/edit?usp=sharing"",""ปราจีนบุรี!I319"")"),10.0)</f>
        <v>10</v>
      </c>
      <c r="J424" s="427">
        <f>IFERROR(__xludf.DUMMYFUNCTION("IMPORTRANGE(""https://docs.google.com/spreadsheets/d/1SX6NBoVAgQJ6U1MVXOaj8PK2l7WJ3RER9xtqwdhxkhw/edit?usp=sharing"",""ปราจีนบุรี!J319"")"),0.0)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IFERROR(__xludf.DUMMYFUNCTION("IMPORTRANGE(""https://docs.google.com/spreadsheets/d/1SX6NBoVAgQJ6U1MVXOaj8PK2l7WJ3RER9xtqwdhxkhw/edit?usp=sharing"",""ปราจีนบุรี!I320"")"),10.0)</f>
        <v>10</v>
      </c>
      <c r="J425" s="427">
        <f>IFERROR(__xludf.DUMMYFUNCTION("IMPORTRANGE(""https://docs.google.com/spreadsheets/d/1SX6NBoVAgQJ6U1MVXOaj8PK2l7WJ3RER9xtqwdhxkhw/edit?usp=sharing"",""ปราจีนบุรี!J320"")"),0.0)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IFERROR(__xludf.DUMMYFUNCTION("IMPORTRANGE(""https://docs.google.com/spreadsheets/d/1SX6NBoVAgQJ6U1MVXOaj8PK2l7WJ3RER9xtqwdhxkhw/edit?usp=sharing"",""ปราจีนบุรี!I321"")"),10.0)</f>
        <v>10</v>
      </c>
      <c r="J426" s="425">
        <f>IFERROR(__xludf.DUMMYFUNCTION("IMPORTRANGE(""https://docs.google.com/spreadsheets/d/1SX6NBoVAgQJ6U1MVXOaj8PK2l7WJ3RER9xtqwdhxkhw/edit?usp=sharing"",""ปราจีนบุรี!J321"")"),0.0)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IFERROR(__xludf.DUMMYFUNCTION("IMPORTRANGE(""https://docs.google.com/spreadsheets/d/1SX6NBoVAgQJ6U1MVXOaj8PK2l7WJ3RER9xtqwdhxkhw/edit?usp=sharing"",""ปราจีนบุรี!I322"")"),30.0)</f>
        <v>30</v>
      </c>
      <c r="J427" s="426">
        <f>IFERROR(__xludf.DUMMYFUNCTION("IMPORTRANGE(""https://docs.google.com/spreadsheets/d/1SX6NBoVAgQJ6U1MVXOaj8PK2l7WJ3RER9xtqwdhxkhw/edit?usp=sharing"",""ปราจีนบุรี!J322"")"),0.0)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IFERROR(__xludf.DUMMYFUNCTION("IMPORTRANGE(""https://docs.google.com/spreadsheets/d/1SX6NBoVAgQJ6U1MVXOaj8PK2l7WJ3RER9xtqwdhxkhw/edit?usp=sharing"",""ปราจีนบุรี!I323"")"),10.0)</f>
        <v>10</v>
      </c>
      <c r="J428" s="427">
        <f>IFERROR(__xludf.DUMMYFUNCTION("IMPORTRANGE(""https://docs.google.com/spreadsheets/d/1SX6NBoVAgQJ6U1MVXOaj8PK2l7WJ3RER9xtqwdhxkhw/edit?usp=sharing"",""ปราจีนบุรี!J323"")"),0.0)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IFERROR(__xludf.DUMMYFUNCTION("IMPORTRANGE(""https://docs.google.com/spreadsheets/d/1SX6NBoVAgQJ6U1MVXOaj8PK2l7WJ3RER9xtqwdhxkhw/edit?usp=sharing"",""ปราจีนบุรี!I324"")"),10.0)</f>
        <v>10</v>
      </c>
      <c r="J429" s="427">
        <f>IFERROR(__xludf.DUMMYFUNCTION("IMPORTRANGE(""https://docs.google.com/spreadsheets/d/1SX6NBoVAgQJ6U1MVXOaj8PK2l7WJ3RER9xtqwdhxkhw/edit?usp=sharing"",""ปราจีนบุรี!J324"")"),0.0)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IFERROR(__xludf.DUMMYFUNCTION("IMPORTRANGE(""https://docs.google.com/spreadsheets/d/1SX6NBoVAgQJ6U1MVXOaj8PK2l7WJ3RER9xtqwdhxkhw/edit?usp=sharing"",""ปราจีนบุรี!I325"")"),20.0)</f>
        <v>20</v>
      </c>
      <c r="J430" s="425">
        <f>IFERROR(__xludf.DUMMYFUNCTION("IMPORTRANGE(""https://docs.google.com/spreadsheets/d/1SX6NBoVAgQJ6U1MVXOaj8PK2l7WJ3RER9xtqwdhxkhw/edit?usp=sharing"",""ปราจีนบุรี!J325"")"),0.0)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IFERROR(__xludf.DUMMYFUNCTION("IMPORTRANGE(""https://docs.google.com/spreadsheets/d/1SX6NBoVAgQJ6U1MVXOaj8PK2l7WJ3RER9xtqwdhxkhw/edit?usp=sharing"",""ปราจีนบุรี!I326"")"),10.0)</f>
        <v>10</v>
      </c>
      <c r="J431" s="427">
        <f>IFERROR(__xludf.DUMMYFUNCTION("IMPORTRANGE(""https://docs.google.com/spreadsheets/d/1SX6NBoVAgQJ6U1MVXOaj8PK2l7WJ3RER9xtqwdhxkhw/edit?usp=sharing"",""ปราจีนบุรี!J326"")"),0.0)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IFERROR(__xludf.DUMMYFUNCTION("IMPORTRANGE(""https://docs.google.com/spreadsheets/d/1SX6NBoVAgQJ6U1MVXOaj8PK2l7WJ3RER9xtqwdhxkhw/edit?usp=sharing"",""ปราจีนบุรี!I327"")"),10.0)</f>
        <v>10</v>
      </c>
      <c r="J432" s="427">
        <f>IFERROR(__xludf.DUMMYFUNCTION("IMPORTRANGE(""https://docs.google.com/spreadsheets/d/1SX6NBoVAgQJ6U1MVXOaj8PK2l7WJ3RER9xtqwdhxkhw/edit?usp=sharing"",""ปราจีนบุรี!J327"")"),0.0)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IFERROR(__xludf.DUMMYFUNCTION("IMPORTRANGE(""https://docs.google.com/spreadsheets/d/1SX6NBoVAgQJ6U1MVXOaj8PK2l7WJ3RER9xtqwdhxkhw/edit?usp=sharing"",""ปราจีนบุรี!J328"")"),0.0)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IFERROR(__xludf.DUMMYFUNCTION("IMPORTRANGE(""https://docs.google.com/spreadsheets/d/1SX6NBoVAgQJ6U1MVXOaj8PK2l7WJ3RER9xtqwdhxkhw/edit?usp=sharing"",""ปราจีนบุรี!J329"")"),0.0)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IFERROR(__xludf.DUMMYFUNCTION("IMPORTRANGE(""https://docs.google.com/spreadsheets/d/1SX6NBoVAgQJ6U1MVXOaj8PK2l7WJ3RER9xtqwdhxkhw/edit?usp=sharing"",""ปราจีนบุรี!I330"")"),10.0)</f>
        <v>10</v>
      </c>
      <c r="J435" s="443">
        <f>IFERROR(__xludf.DUMMYFUNCTION("IMPORTRANGE(""https://docs.google.com/spreadsheets/d/1SX6NBoVAgQJ6U1MVXOaj8PK2l7WJ3RER9xtqwdhxkhw/edit?usp=sharing"",""ปราจีนบุรี!J330"")"),0.0)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IFERROR(__xludf.DUMMYFUNCTION("IMPORTRANGE(""https://docs.google.com/spreadsheets/d/1SX6NBoVAgQJ6U1MVXOaj8PK2l7WJ3RER9xtqwdhxkhw/edit?usp=sharing"",""ปราจีนบุรี!L330"")"),71000.0)</f>
        <v>71000</v>
      </c>
      <c r="M435" s="445"/>
      <c r="N435" s="445">
        <f>IFERROR(__xludf.DUMMYFUNCTION("IMPORTRANGE(""https://docs.google.com/spreadsheets/d/1SX6NBoVAgQJ6U1MVXOaj8PK2l7WJ3RER9xtqwdhxkhw/edit?usp=sharing"",""ปราจีนบุรี!M330"")"),0.0)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IFERROR(__xludf.DUMMYFUNCTION("IMPORTRANGE(""https://docs.google.com/spreadsheets/d/1SX6NBoVAgQJ6U1MVXOaj8PK2l7WJ3RER9xtqwdhxkhw/edit?usp=sharing"",""ปราจีนบุรี!L331"")"),0.0)</f>
        <v>0</v>
      </c>
      <c r="M436" s="197"/>
      <c r="N436" s="203">
        <f>IFERROR(__xludf.DUMMYFUNCTION("IMPORTRANGE(""https://docs.google.com/spreadsheets/d/1SX6NBoVAgQJ6U1MVXOaj8PK2l7WJ3RER9xtqwdhxkhw/edit?usp=sharing"",""ปราจีนบุรี!M331"")"),0.0)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IFERROR(__xludf.DUMMYFUNCTION("IMPORTRANGE(""https://docs.google.com/spreadsheets/d/1SX6NBoVAgQJ6U1MVXOaj8PK2l7WJ3RER9xtqwdhxkhw/edit?usp=sharing"",""ปราจีนบุรี!L332"")"),71000.0)</f>
        <v>71000</v>
      </c>
      <c r="M437" s="198"/>
      <c r="N437" s="203">
        <f>IFERROR(__xludf.DUMMYFUNCTION("IMPORTRANGE(""https://docs.google.com/spreadsheets/d/1SX6NBoVAgQJ6U1MVXOaj8PK2l7WJ3RER9xtqwdhxkhw/edit?usp=sharing"",""ปราจีนบุรี!M332"")"),0.0)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IFERROR(__xludf.DUMMYFUNCTION("IMPORTRANGE(""https://docs.google.com/spreadsheets/d/1SX6NBoVAgQJ6U1MVXOaj8PK2l7WJ3RER9xtqwdhxkhw/edit?usp=sharing"",""ปราจีนบุรี!L333"")"),0.0)</f>
        <v>0</v>
      </c>
      <c r="M438" s="203"/>
      <c r="N438" s="203">
        <f>IFERROR(__xludf.DUMMYFUNCTION("IMPORTRANGE(""https://docs.google.com/spreadsheets/d/1SX6NBoVAgQJ6U1MVXOaj8PK2l7WJ3RER9xtqwdhxkhw/edit?usp=sharing"",""ปราจีนบุรี!M333"")"),0.0)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IFERROR(__xludf.DUMMYFUNCTION("IMPORTRANGE(""https://docs.google.com/spreadsheets/d/1SX6NBoVAgQJ6U1MVXOaj8PK2l7WJ3RER9xtqwdhxkhw/edit?usp=sharing"",""ปราจีนบุรี!L334"")"),71000.0)</f>
        <v>71000</v>
      </c>
      <c r="M439" s="203"/>
      <c r="N439" s="203">
        <f>IFERROR(__xludf.DUMMYFUNCTION("IMPORTRANGE(""https://docs.google.com/spreadsheets/d/1SX6NBoVAgQJ6U1MVXOaj8PK2l7WJ3RER9xtqwdhxkhw/edit?usp=sharing"",""ปราจีนบุรี!M334"")"),0.0)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IFERROR(__xludf.DUMMYFUNCTION("IMPORTRANGE(""https://docs.google.com/spreadsheets/d/1SX6NBoVAgQJ6U1MVXOaj8PK2l7WJ3RER9xtqwdhxkhw/edit?usp=sharing"",""ปราจีนบุรี!M335"")"),0.0)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IFERROR(__xludf.DUMMYFUNCTION("IMPORTRANGE(""https://docs.google.com/spreadsheets/d/1SX6NBoVAgQJ6U1MVXOaj8PK2l7WJ3RER9xtqwdhxkhw/edit?usp=sharing"",""ปราจีนบุรี!M336"")"),0.0)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IFERROR(__xludf.DUMMYFUNCTION("IMPORTRANGE(""https://docs.google.com/spreadsheets/d/1SX6NBoVAgQJ6U1MVXOaj8PK2l7WJ3RER9xtqwdhxkhw/edit?usp=sharing"",""ปราจีนบุรี!M337"")"),0.0)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IFERROR(__xludf.DUMMYFUNCTION("IMPORTRANGE(""https://docs.google.com/spreadsheets/d/1SX6NBoVAgQJ6U1MVXOaj8PK2l7WJ3RER9xtqwdhxkhw/edit?usp=sharing"",""ปราจีนบุรี!M338"")"),0.0)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IFERROR(__xludf.DUMMYFUNCTION("IMPORTRANGE(""https://docs.google.com/spreadsheets/d/1SX6NBoVAgQJ6U1MVXOaj8PK2l7WJ3RER9xtqwdhxkhw/edit?usp=sharing"",""ปราจีนบุรี!J340"")"),1.0)</f>
        <v>1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IFERROR(__xludf.DUMMYFUNCTION("IMPORTRANGE(""https://docs.google.com/spreadsheets/d/1SX6NBoVAgQJ6U1MVXOaj8PK2l7WJ3RER9xtqwdhxkhw/edit?usp=sharing"",""ปราจีนบุรี!J341"")"),0.0)</f>
        <v>0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IFERROR(__xludf.DUMMYFUNCTION("IMPORTRANGE(""https://docs.google.com/spreadsheets/d/1SX6NBoVAgQJ6U1MVXOaj8PK2l7WJ3RER9xtqwdhxkhw/edit?usp=sharing"",""ปราจีนบุรี!J342"")"),0.0)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IFERROR(__xludf.DUMMYFUNCTION("IMPORTRANGE(""https://docs.google.com/spreadsheets/d/1SX6NBoVAgQJ6U1MVXOaj8PK2l7WJ3RER9xtqwdhxkhw/edit?usp=sharing"",""ปราจีนบุรี!J343"")"),0.0)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IFERROR(__xludf.DUMMYFUNCTION("IMPORTRANGE(""https://docs.google.com/spreadsheets/d/1SX6NBoVAgQJ6U1MVXOaj8PK2l7WJ3RER9xtqwdhxkhw/edit?usp=sharing"",""ปราจีนบุรี!I344"")"),10.0)</f>
        <v>10</v>
      </c>
      <c r="J449" s="235">
        <f>IFERROR(__xludf.DUMMYFUNCTION("IMPORTRANGE(""https://docs.google.com/spreadsheets/d/1SX6NBoVAgQJ6U1MVXOaj8PK2l7WJ3RER9xtqwdhxkhw/edit?usp=sharing"",""ปราจีนบุรี!J344"")"),0.0)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IFERROR(__xludf.DUMMYFUNCTION("IMPORTRANGE(""https://docs.google.com/spreadsheets/d/1SX6NBoVAgQJ6U1MVXOaj8PK2l7WJ3RER9xtqwdhxkhw/edit?usp=sharing"",""ปราจีนบุรี!I345"")"),10.0)</f>
        <v>10</v>
      </c>
      <c r="J450" s="223">
        <f>IFERROR(__xludf.DUMMYFUNCTION("IMPORTRANGE(""https://docs.google.com/spreadsheets/d/1SX6NBoVAgQJ6U1MVXOaj8PK2l7WJ3RER9xtqwdhxkhw/edit?usp=sharing"",""ปราจีนบุรี!J345"")"),0.0)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IFERROR(__xludf.DUMMYFUNCTION("IMPORTRANGE(""https://docs.google.com/spreadsheets/d/1SX6NBoVAgQJ6U1MVXOaj8PK2l7WJ3RER9xtqwdhxkhw/edit?usp=sharing"",""ปราจีนบุรี!I346"")"),0.0)</f>
        <v>0</v>
      </c>
      <c r="J451" s="222">
        <f>IFERROR(__xludf.DUMMYFUNCTION("IMPORTRANGE(""https://docs.google.com/spreadsheets/d/1SX6NBoVAgQJ6U1MVXOaj8PK2l7WJ3RER9xtqwdhxkhw/edit?usp=sharing"",""ปราจีนบุรี!J346"")"),0.0)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IFERROR(__xludf.DUMMYFUNCTION("IMPORTRANGE(""https://docs.google.com/spreadsheets/d/1SX6NBoVAgQJ6U1MVXOaj8PK2l7WJ3RER9xtqwdhxkhw/edit?usp=sharing"",""ปราจีนบุรี!I347"")"),0.0)</f>
        <v>0</v>
      </c>
      <c r="J452" s="222">
        <f>IFERROR(__xludf.DUMMYFUNCTION("IMPORTRANGE(""https://docs.google.com/spreadsheets/d/1SX6NBoVAgQJ6U1MVXOaj8PK2l7WJ3RER9xtqwdhxkhw/edit?usp=sharing"",""ปราจีนบุรี!J347"")"),0.0)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IFERROR(__xludf.DUMMYFUNCTION("IMPORTRANGE(""https://docs.google.com/spreadsheets/d/1SX6NBoVAgQJ6U1MVXOaj8PK2l7WJ3RER9xtqwdhxkhw/edit?usp=sharing"",""ปราจีนบุรี!J348"")"),0.0)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IFERROR(__xludf.DUMMYFUNCTION("IMPORTRANGE(""https://docs.google.com/spreadsheets/d/1SX6NBoVAgQJ6U1MVXOaj8PK2l7WJ3RER9xtqwdhxkhw/edit?usp=sharing"",""ปราจีนบุรี!J349"")"),0.0)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IFERROR(__xludf.DUMMYFUNCTION("IMPORTRANGE(""https://docs.google.com/spreadsheets/d/1SX6NBoVAgQJ6U1MVXOaj8PK2l7WJ3RER9xtqwdhxkhw/edit?usp=sharing"",""ปราจีนบุรี!I350"")"),2262.0)</f>
        <v>2262</v>
      </c>
      <c r="J455" s="404">
        <f>IFERROR(__xludf.DUMMYFUNCTION("IMPORTRANGE(""https://docs.google.com/spreadsheets/d/1SX6NBoVAgQJ6U1MVXOaj8PK2l7WJ3RER9xtqwdhxkhw/edit?usp=sharing"",""ปราจีนบุรี!J350"")"),0.0)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IFERROR(__xludf.DUMMYFUNCTION("IMPORTRANGE(""https://docs.google.com/spreadsheets/d/1SX6NBoVAgQJ6U1MVXOaj8PK2l7WJ3RER9xtqwdhxkhw/edit?usp=sharing"",""ปราจีนบุรี!L350"")"),57554.0)</f>
        <v>57554</v>
      </c>
      <c r="M455" s="406"/>
      <c r="N455" s="406">
        <f>IFERROR(__xludf.DUMMYFUNCTION("IMPORTRANGE(""https://docs.google.com/spreadsheets/d/1SX6NBoVAgQJ6U1MVXOaj8PK2l7WJ3RER9xtqwdhxkhw/edit?usp=sharing"",""ปราจีนบุรี!M350"")"),0.0)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IFERROR(__xludf.DUMMYFUNCTION("IMPORTRANGE(""https://docs.google.com/spreadsheets/d/1SX6NBoVAgQJ6U1MVXOaj8PK2l7WJ3RER9xtqwdhxkhw/edit?usp=sharing"",""ปราจีนบุรี!L351"")"),0.0)</f>
        <v>0</v>
      </c>
      <c r="M456" s="197"/>
      <c r="N456" s="203">
        <f>IFERROR(__xludf.DUMMYFUNCTION("IMPORTRANGE(""https://docs.google.com/spreadsheets/d/1SX6NBoVAgQJ6U1MVXOaj8PK2l7WJ3RER9xtqwdhxkhw/edit?usp=sharing"",""ปราจีนบุรี!M351"")"),0.0)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IFERROR(__xludf.DUMMYFUNCTION("IMPORTRANGE(""https://docs.google.com/spreadsheets/d/1SX6NBoVAgQJ6U1MVXOaj8PK2l7WJ3RER9xtqwdhxkhw/edit?usp=sharing"",""ปราจีนบุรี!L352"")"),57554.0)</f>
        <v>57554</v>
      </c>
      <c r="M457" s="198"/>
      <c r="N457" s="203">
        <f>IFERROR(__xludf.DUMMYFUNCTION("IMPORTRANGE(""https://docs.google.com/spreadsheets/d/1SX6NBoVAgQJ6U1MVXOaj8PK2l7WJ3RER9xtqwdhxkhw/edit?usp=sharing"",""ปราจีนบุรี!M352"")"),0.0)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IFERROR(__xludf.DUMMYFUNCTION("IMPORTRANGE(""https://docs.google.com/spreadsheets/d/1SX6NBoVAgQJ6U1MVXOaj8PK2l7WJ3RER9xtqwdhxkhw/edit?usp=sharing"",""ปราจีนบุรี!L353"")"),0.0)</f>
        <v>0</v>
      </c>
      <c r="M458" s="203"/>
      <c r="N458" s="203">
        <f>IFERROR(__xludf.DUMMYFUNCTION("IMPORTRANGE(""https://docs.google.com/spreadsheets/d/1SX6NBoVAgQJ6U1MVXOaj8PK2l7WJ3RER9xtqwdhxkhw/edit?usp=sharing"",""ปราจีนบุรี!M353"")"),0.0)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IFERROR(__xludf.DUMMYFUNCTION("IMPORTRANGE(""https://docs.google.com/spreadsheets/d/1SX6NBoVAgQJ6U1MVXOaj8PK2l7WJ3RER9xtqwdhxkhw/edit?usp=sharing"",""ปราจีนบุรี!L354"")"),57554.0)</f>
        <v>57554</v>
      </c>
      <c r="M459" s="203"/>
      <c r="N459" s="203">
        <f>IFERROR(__xludf.DUMMYFUNCTION("IMPORTRANGE(""https://docs.google.com/spreadsheets/d/1SX6NBoVAgQJ6U1MVXOaj8PK2l7WJ3RER9xtqwdhxkhw/edit?usp=sharing"",""ปราจีนบุรี!M354"")"),0.0)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IFERROR(__xludf.DUMMYFUNCTION("IMPORTRANGE(""https://docs.google.com/spreadsheets/d/1SX6NBoVAgQJ6U1MVXOaj8PK2l7WJ3RER9xtqwdhxkhw/edit?usp=sharing"",""ปราจีนบุรี!M355"")"),0.0)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IFERROR(__xludf.DUMMYFUNCTION("IMPORTRANGE(""https://docs.google.com/spreadsheets/d/1SX6NBoVAgQJ6U1MVXOaj8PK2l7WJ3RER9xtqwdhxkhw/edit?usp=sharing"",""ปราจีนบุรี!M356"")"),0.0)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IFERROR(__xludf.DUMMYFUNCTION("IMPORTRANGE(""https://docs.google.com/spreadsheets/d/1SX6NBoVAgQJ6U1MVXOaj8PK2l7WJ3RER9xtqwdhxkhw/edit?usp=sharing"",""ปราจีนบุรี!M357"")"),0.0)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IFERROR(__xludf.DUMMYFUNCTION("IMPORTRANGE(""https://docs.google.com/spreadsheets/d/1SX6NBoVAgQJ6U1MVXOaj8PK2l7WJ3RER9xtqwdhxkhw/edit?usp=sharing"",""ปราจีนบุรี!M358"")"),0.0)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IFERROR(__xludf.DUMMYFUNCTION("IMPORTRANGE(""https://docs.google.com/spreadsheets/d/1SX6NBoVAgQJ6U1MVXOaj8PK2l7WJ3RER9xtqwdhxkhw/edit?usp=sharing"",""ปราจีนบุรี!I359"")"),2262.0)</f>
        <v>2262</v>
      </c>
      <c r="J464" s="301">
        <f>IFERROR(__xludf.DUMMYFUNCTION("IMPORTRANGE(""https://docs.google.com/spreadsheets/d/1SX6NBoVAgQJ6U1MVXOaj8PK2l7WJ3RER9xtqwdhxkhw/edit?usp=sharing"",""ปราจีนบุรี!J359"")"),0.0)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IFERROR(__xludf.DUMMYFUNCTION("IMPORTRANGE(""https://docs.google.com/spreadsheets/d/1SX6NBoVAgQJ6U1MVXOaj8PK2l7WJ3RER9xtqwdhxkhw/edit?usp=sharing"",""ปราจีนบุรี!I360"")"),2262.0)</f>
        <v>2262</v>
      </c>
      <c r="J465" s="453">
        <f>IFERROR(__xludf.DUMMYFUNCTION("IMPORTRANGE(""https://docs.google.com/spreadsheets/d/1SX6NBoVAgQJ6U1MVXOaj8PK2l7WJ3RER9xtqwdhxkhw/edit?usp=sharing"",""ปราจีนบุรี!J360"")"),0.0)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IFERROR(__xludf.DUMMYFUNCTION("IMPORTRANGE(""https://docs.google.com/spreadsheets/d/1SX6NBoVAgQJ6U1MVXOaj8PK2l7WJ3RER9xtqwdhxkhw/edit?usp=sharing"",""ปราจีนบุรี!I361"")"),142.0)</f>
        <v>142</v>
      </c>
      <c r="J466" s="453">
        <f>IFERROR(__xludf.DUMMYFUNCTION("IMPORTRANGE(""https://docs.google.com/spreadsheets/d/1SX6NBoVAgQJ6U1MVXOaj8PK2l7WJ3RER9xtqwdhxkhw/edit?usp=sharing"",""ปราจีนบุรี!J361"")"),0.0)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IFERROR(__xludf.DUMMYFUNCTION("IMPORTRANGE(""https://docs.google.com/spreadsheets/d/1SX6NBoVAgQJ6U1MVXOaj8PK2l7WJ3RER9xtqwdhxkhw/edit?usp=sharing"",""ปราจีนบุรี!I362"")"),0.0)</f>
        <v>0</v>
      </c>
      <c r="J467" s="223">
        <f>IFERROR(__xludf.DUMMYFUNCTION("IMPORTRANGE(""https://docs.google.com/spreadsheets/d/1SX6NBoVAgQJ6U1MVXOaj8PK2l7WJ3RER9xtqwdhxkhw/edit?usp=sharing"",""ปราจีนบุรี!J362"")"),0.0)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IFERROR(__xludf.DUMMYFUNCTION("IMPORTRANGE(""https://docs.google.com/spreadsheets/d/1SX6NBoVAgQJ6U1MVXOaj8PK2l7WJ3RER9xtqwdhxkhw/edit?usp=sharing"",""ปราจีนบุรี!I363"")"),0.0)</f>
        <v>0</v>
      </c>
      <c r="J468" s="223">
        <f>IFERROR(__xludf.DUMMYFUNCTION("IMPORTRANGE(""https://docs.google.com/spreadsheets/d/1SX6NBoVAgQJ6U1MVXOaj8PK2l7WJ3RER9xtqwdhxkhw/edit?usp=sharing"",""ปราจีนบุรี!J363"")"),0.0)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IFERROR(__xludf.DUMMYFUNCTION("IMPORTRANGE(""https://docs.google.com/spreadsheets/d/1SX6NBoVAgQJ6U1MVXOaj8PK2l7WJ3RER9xtqwdhxkhw/edit?usp=sharing"",""ปราจีนบุรี!I364"")"),0.0)</f>
        <v>0</v>
      </c>
      <c r="J469" s="223">
        <f>IFERROR(__xludf.DUMMYFUNCTION("IMPORTRANGE(""https://docs.google.com/spreadsheets/d/1SX6NBoVAgQJ6U1MVXOaj8PK2l7WJ3RER9xtqwdhxkhw/edit?usp=sharing"",""ปราจีนบุรี!J364"")"),0.0)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IFERROR(__xludf.DUMMYFUNCTION("IMPORTRANGE(""https://docs.google.com/spreadsheets/d/1SX6NBoVAgQJ6U1MVXOaj8PK2l7WJ3RER9xtqwdhxkhw/edit?usp=sharing"",""ปราจีนบุรี!I365"")"),0.0)</f>
        <v>0</v>
      </c>
      <c r="J470" s="223">
        <f>IFERROR(__xludf.DUMMYFUNCTION("IMPORTRANGE(""https://docs.google.com/spreadsheets/d/1SX6NBoVAgQJ6U1MVXOaj8PK2l7WJ3RER9xtqwdhxkhw/edit?usp=sharing"",""ปราจีนบุรี!J365"")"),0.0)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IFERROR(__xludf.DUMMYFUNCTION("IMPORTRANGE(""https://docs.google.com/spreadsheets/d/1SX6NBoVAgQJ6U1MVXOaj8PK2l7WJ3RER9xtqwdhxkhw/edit?usp=sharing"",""ปราจีนบุรี!I366"")"),0.0)</f>
        <v>0</v>
      </c>
      <c r="J471" s="223">
        <f>IFERROR(__xludf.DUMMYFUNCTION("IMPORTRANGE(""https://docs.google.com/spreadsheets/d/1SX6NBoVAgQJ6U1MVXOaj8PK2l7WJ3RER9xtqwdhxkhw/edit?usp=sharing"",""ปราจีนบุรี!J366"")"),0.0)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IFERROR(__xludf.DUMMYFUNCTION("IMPORTRANGE(""https://docs.google.com/spreadsheets/d/1SX6NBoVAgQJ6U1MVXOaj8PK2l7WJ3RER9xtqwdhxkhw/edit?usp=sharing"",""ปราจีนบุรี!I367"")"),0.0)</f>
        <v>0</v>
      </c>
      <c r="J472" s="223">
        <f>IFERROR(__xludf.DUMMYFUNCTION("IMPORTRANGE(""https://docs.google.com/spreadsheets/d/1SX6NBoVAgQJ6U1MVXOaj8PK2l7WJ3RER9xtqwdhxkhw/edit?usp=sharing"",""ปราจีนบุรี!J367"")"),0.0)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IFERROR(__xludf.DUMMYFUNCTION("IMPORTRANGE(""https://docs.google.com/spreadsheets/d/1SX6NBoVAgQJ6U1MVXOaj8PK2l7WJ3RER9xtqwdhxkhw/edit?usp=sharing"",""ปราจีนบุรี!I368"")"),2262.0)</f>
        <v>2262</v>
      </c>
      <c r="J473" s="453">
        <f>IFERROR(__xludf.DUMMYFUNCTION("IMPORTRANGE(""https://docs.google.com/spreadsheets/d/1SX6NBoVAgQJ6U1MVXOaj8PK2l7WJ3RER9xtqwdhxkhw/edit?usp=sharing"",""ปราจีนบุรี!J368"")"),0.0)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IFERROR(__xludf.DUMMYFUNCTION("IMPORTRANGE(""https://docs.google.com/spreadsheets/d/1SX6NBoVAgQJ6U1MVXOaj8PK2l7WJ3RER9xtqwdhxkhw/edit?usp=sharing"",""ปราจีนบุรี!I369"")"),142.0)</f>
        <v>142</v>
      </c>
      <c r="J474" s="453">
        <f>IFERROR(__xludf.DUMMYFUNCTION("IMPORTRANGE(""https://docs.google.com/spreadsheets/d/1SX6NBoVAgQJ6U1MVXOaj8PK2l7WJ3RER9xtqwdhxkhw/edit?usp=sharing"",""ปราจีนบุรี!J369"")"),0.0)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IFERROR(__xludf.DUMMYFUNCTION("IMPORTRANGE(""https://docs.google.com/spreadsheets/d/1SX6NBoVAgQJ6U1MVXOaj8PK2l7WJ3RER9xtqwdhxkhw/edit?usp=sharing"",""ปราจีนบุรี!I370"")"),0.0)</f>
        <v>0</v>
      </c>
      <c r="J475" s="223">
        <f>IFERROR(__xludf.DUMMYFUNCTION("IMPORTRANGE(""https://docs.google.com/spreadsheets/d/1SX6NBoVAgQJ6U1MVXOaj8PK2l7WJ3RER9xtqwdhxkhw/edit?usp=sharing"",""ปราจีนบุรี!J370"")"),0.0)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IFERROR(__xludf.DUMMYFUNCTION("IMPORTRANGE(""https://docs.google.com/spreadsheets/d/1SX6NBoVAgQJ6U1MVXOaj8PK2l7WJ3RER9xtqwdhxkhw/edit?usp=sharing"",""ปราจีนบุรี!I371"")"),0.0)</f>
        <v>0</v>
      </c>
      <c r="J476" s="223">
        <f>IFERROR(__xludf.DUMMYFUNCTION("IMPORTRANGE(""https://docs.google.com/spreadsheets/d/1SX6NBoVAgQJ6U1MVXOaj8PK2l7WJ3RER9xtqwdhxkhw/edit?usp=sharing"",""ปราจีนบุรี!J371"")"),0.0)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IFERROR(__xludf.DUMMYFUNCTION("IMPORTRANGE(""https://docs.google.com/spreadsheets/d/1SX6NBoVAgQJ6U1MVXOaj8PK2l7WJ3RER9xtqwdhxkhw/edit?usp=sharing"",""ปราจีนบุรี!I372"")"),0.0)</f>
        <v>0</v>
      </c>
      <c r="J477" s="223">
        <f>IFERROR(__xludf.DUMMYFUNCTION("IMPORTRANGE(""https://docs.google.com/spreadsheets/d/1SX6NBoVAgQJ6U1MVXOaj8PK2l7WJ3RER9xtqwdhxkhw/edit?usp=sharing"",""ปราจีนบุรี!J372"")"),0.0)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IFERROR(__xludf.DUMMYFUNCTION("IMPORTRANGE(""https://docs.google.com/spreadsheets/d/1SX6NBoVAgQJ6U1MVXOaj8PK2l7WJ3RER9xtqwdhxkhw/edit?usp=sharing"",""ปราจีนบุรี!I373"")"),0.0)</f>
        <v>0</v>
      </c>
      <c r="J478" s="223">
        <f>IFERROR(__xludf.DUMMYFUNCTION("IMPORTRANGE(""https://docs.google.com/spreadsheets/d/1SX6NBoVAgQJ6U1MVXOaj8PK2l7WJ3RER9xtqwdhxkhw/edit?usp=sharing"",""ปราจีนบุรี!J373"")"),0.0)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IFERROR(__xludf.DUMMYFUNCTION("IMPORTRANGE(""https://docs.google.com/spreadsheets/d/1SX6NBoVAgQJ6U1MVXOaj8PK2l7WJ3RER9xtqwdhxkhw/edit?usp=sharing"",""ปราจีนบุรี!I374"")"),0.0)</f>
        <v>0</v>
      </c>
      <c r="J479" s="223">
        <f>IFERROR(__xludf.DUMMYFUNCTION("IMPORTRANGE(""https://docs.google.com/spreadsheets/d/1SX6NBoVAgQJ6U1MVXOaj8PK2l7WJ3RER9xtqwdhxkhw/edit?usp=sharing"",""ปราจีนบุรี!J374"")"),0.0)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IFERROR(__xludf.DUMMYFUNCTION("IMPORTRANGE(""https://docs.google.com/spreadsheets/d/1SX6NBoVAgQJ6U1MVXOaj8PK2l7WJ3RER9xtqwdhxkhw/edit?usp=sharing"",""ปราจีนบุรี!I375"")"),0.0)</f>
        <v>0</v>
      </c>
      <c r="J480" s="223">
        <f>IFERROR(__xludf.DUMMYFUNCTION("IMPORTRANGE(""https://docs.google.com/spreadsheets/d/1SX6NBoVAgQJ6U1MVXOaj8PK2l7WJ3RER9xtqwdhxkhw/edit?usp=sharing"",""ปราจีนบุรี!J375"")"),0.0)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IFERROR(__xludf.DUMMYFUNCTION("IMPORTRANGE(""https://docs.google.com/spreadsheets/d/1SX6NBoVAgQJ6U1MVXOaj8PK2l7WJ3RER9xtqwdhxkhw/edit?usp=sharing"",""ปราจีนบุรี!I376"")"),2262.0)</f>
        <v>2262</v>
      </c>
      <c r="J481" s="453">
        <f>IFERROR(__xludf.DUMMYFUNCTION("IMPORTRANGE(""https://docs.google.com/spreadsheets/d/1SX6NBoVAgQJ6U1MVXOaj8PK2l7WJ3RER9xtqwdhxkhw/edit?usp=sharing"",""ปราจีนบุรี!J376"")"),0.0)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IFERROR(__xludf.DUMMYFUNCTION("IMPORTRANGE(""https://docs.google.com/spreadsheets/d/1SX6NBoVAgQJ6U1MVXOaj8PK2l7WJ3RER9xtqwdhxkhw/edit?usp=sharing"",""ปราจีนบุรี!I377"")"),142.0)</f>
        <v>142</v>
      </c>
      <c r="J482" s="453">
        <f>IFERROR(__xludf.DUMMYFUNCTION("IMPORTRANGE(""https://docs.google.com/spreadsheets/d/1SX6NBoVAgQJ6U1MVXOaj8PK2l7WJ3RER9xtqwdhxkhw/edit?usp=sharing"",""ปราจีนบุรี!J377"")"),0.0)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IFERROR(__xludf.DUMMYFUNCTION("IMPORTRANGE(""https://docs.google.com/spreadsheets/d/1SX6NBoVAgQJ6U1MVXOaj8PK2l7WJ3RER9xtqwdhxkhw/edit?usp=sharing"",""ปราจีนบุรี!I378"")"),0.0)</f>
        <v>0</v>
      </c>
      <c r="J483" s="223">
        <f>IFERROR(__xludf.DUMMYFUNCTION("IMPORTRANGE(""https://docs.google.com/spreadsheets/d/1SX6NBoVAgQJ6U1MVXOaj8PK2l7WJ3RER9xtqwdhxkhw/edit?usp=sharing"",""ปราจีนบุรี!J378"")"),0.0)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IFERROR(__xludf.DUMMYFUNCTION("IMPORTRANGE(""https://docs.google.com/spreadsheets/d/1SX6NBoVAgQJ6U1MVXOaj8PK2l7WJ3RER9xtqwdhxkhw/edit?usp=sharing"",""ปราจีนบุรี!I379"")"),0.0)</f>
        <v>0</v>
      </c>
      <c r="J484" s="223">
        <f>IFERROR(__xludf.DUMMYFUNCTION("IMPORTRANGE(""https://docs.google.com/spreadsheets/d/1SX6NBoVAgQJ6U1MVXOaj8PK2l7WJ3RER9xtqwdhxkhw/edit?usp=sharing"",""ปราจีนบุรี!J379"")"),0.0)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IFERROR(__xludf.DUMMYFUNCTION("IMPORTRANGE(""https://docs.google.com/spreadsheets/d/1SX6NBoVAgQJ6U1MVXOaj8PK2l7WJ3RER9xtqwdhxkhw/edit?usp=sharing"",""ปราจีนบุรี!I380"")"),0.0)</f>
        <v>0</v>
      </c>
      <c r="J485" s="223">
        <f>IFERROR(__xludf.DUMMYFUNCTION("IMPORTRANGE(""https://docs.google.com/spreadsheets/d/1SX6NBoVAgQJ6U1MVXOaj8PK2l7WJ3RER9xtqwdhxkhw/edit?usp=sharing"",""ปราจีนบุรี!J380"")"),0.0)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IFERROR(__xludf.DUMMYFUNCTION("IMPORTRANGE(""https://docs.google.com/spreadsheets/d/1SX6NBoVAgQJ6U1MVXOaj8PK2l7WJ3RER9xtqwdhxkhw/edit?usp=sharing"",""ปราจีนบุรี!I381"")"),0.0)</f>
        <v>0</v>
      </c>
      <c r="J486" s="223">
        <f>IFERROR(__xludf.DUMMYFUNCTION("IMPORTRANGE(""https://docs.google.com/spreadsheets/d/1SX6NBoVAgQJ6U1MVXOaj8PK2l7WJ3RER9xtqwdhxkhw/edit?usp=sharing"",""ปราจีนบุรี!J381"")"),0.0)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IFERROR(__xludf.DUMMYFUNCTION("IMPORTRANGE(""https://docs.google.com/spreadsheets/d/1SX6NBoVAgQJ6U1MVXOaj8PK2l7WJ3RER9xtqwdhxkhw/edit?usp=sharing"",""ปราจีนบุรี!I382"")"),0.0)</f>
        <v>0</v>
      </c>
      <c r="J487" s="453">
        <f>IFERROR(__xludf.DUMMYFUNCTION("IMPORTRANGE(""https://docs.google.com/spreadsheets/d/1SX6NBoVAgQJ6U1MVXOaj8PK2l7WJ3RER9xtqwdhxkhw/edit?usp=sharing"",""ปราจีนบุรี!J382"")"),0.0)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IFERROR(__xludf.DUMMYFUNCTION("IMPORTRANGE(""https://docs.google.com/spreadsheets/d/1SX6NBoVAgQJ6U1MVXOaj8PK2l7WJ3RER9xtqwdhxkhw/edit?usp=sharing"",""ปราจีนบุรี!I383"")"),0.0)</f>
        <v>0</v>
      </c>
      <c r="J488" s="453">
        <f>IFERROR(__xludf.DUMMYFUNCTION("IMPORTRANGE(""https://docs.google.com/spreadsheets/d/1SX6NBoVAgQJ6U1MVXOaj8PK2l7WJ3RER9xtqwdhxkhw/edit?usp=sharing"",""ปราจีนบุรี!J383"")"),0.0)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IFERROR(__xludf.DUMMYFUNCTION("IMPORTRANGE(""https://docs.google.com/spreadsheets/d/1SX6NBoVAgQJ6U1MVXOaj8PK2l7WJ3RER9xtqwdhxkhw/edit?usp=sharing"",""ปราจีนบุรี!I384"")"),0.0)</f>
        <v>0</v>
      </c>
      <c r="J489" s="223">
        <f>IFERROR(__xludf.DUMMYFUNCTION("IMPORTRANGE(""https://docs.google.com/spreadsheets/d/1SX6NBoVAgQJ6U1MVXOaj8PK2l7WJ3RER9xtqwdhxkhw/edit?usp=sharing"",""ปราจีนบุรี!J384"")"),0.0)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IFERROR(__xludf.DUMMYFUNCTION("IMPORTRANGE(""https://docs.google.com/spreadsheets/d/1SX6NBoVAgQJ6U1MVXOaj8PK2l7WJ3RER9xtqwdhxkhw/edit?usp=sharing"",""ปราจีนบุรี!I385"")"),0.0)</f>
        <v>0</v>
      </c>
      <c r="J490" s="223">
        <f>IFERROR(__xludf.DUMMYFUNCTION("IMPORTRANGE(""https://docs.google.com/spreadsheets/d/1SX6NBoVAgQJ6U1MVXOaj8PK2l7WJ3RER9xtqwdhxkhw/edit?usp=sharing"",""ปราจีนบุรี!J385"")"),0.0)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IFERROR(__xludf.DUMMYFUNCTION("IMPORTRANGE(""https://docs.google.com/spreadsheets/d/1SX6NBoVAgQJ6U1MVXOaj8PK2l7WJ3RER9xtqwdhxkhw/edit?usp=sharing"",""ปราจีนบุรี!I386"")"),0.0)</f>
        <v>0</v>
      </c>
      <c r="J491" s="223">
        <f>IFERROR(__xludf.DUMMYFUNCTION("IMPORTRANGE(""https://docs.google.com/spreadsheets/d/1SX6NBoVAgQJ6U1MVXOaj8PK2l7WJ3RER9xtqwdhxkhw/edit?usp=sharing"",""ปราจีนบุรี!J386"")"),0.0)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IFERROR(__xludf.DUMMYFUNCTION("IMPORTRANGE(""https://docs.google.com/spreadsheets/d/1SX6NBoVAgQJ6U1MVXOaj8PK2l7WJ3RER9xtqwdhxkhw/edit?usp=sharing"",""ปราจีนบุรี!I387"")"),0.0)</f>
        <v>0</v>
      </c>
      <c r="J492" s="223">
        <f>IFERROR(__xludf.DUMMYFUNCTION("IMPORTRANGE(""https://docs.google.com/spreadsheets/d/1SX6NBoVAgQJ6U1MVXOaj8PK2l7WJ3RER9xtqwdhxkhw/edit?usp=sharing"",""ปราจีนบุรี!J387"")"),0.0)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IFERROR(__xludf.DUMMYFUNCTION("IMPORTRANGE(""https://docs.google.com/spreadsheets/d/1SX6NBoVAgQJ6U1MVXOaj8PK2l7WJ3RER9xtqwdhxkhw/edit?usp=sharing"",""ปราจีนบุรี!I388"")"),0.0)</f>
        <v>0</v>
      </c>
      <c r="J493" s="223">
        <f>IFERROR(__xludf.DUMMYFUNCTION("IMPORTRANGE(""https://docs.google.com/spreadsheets/d/1SX6NBoVAgQJ6U1MVXOaj8PK2l7WJ3RER9xtqwdhxkhw/edit?usp=sharing"",""ปราจีนบุรี!J388"")"),0.0)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IFERROR(__xludf.DUMMYFUNCTION("IMPORTRANGE(""https://docs.google.com/spreadsheets/d/1SX6NBoVAgQJ6U1MVXOaj8PK2l7WJ3RER9xtqwdhxkhw/edit?usp=sharing"",""ปราจีนบุรี!I389"")"),0.0)</f>
        <v>0</v>
      </c>
      <c r="J494" s="469">
        <f>IFERROR(__xludf.DUMMYFUNCTION("IMPORTRANGE(""https://docs.google.com/spreadsheets/d/1SX6NBoVAgQJ6U1MVXOaj8PK2l7WJ3RER9xtqwdhxkhw/edit?usp=sharing"",""ปราจีนบุรี!J389"")"),0.0)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IFERROR(__xludf.DUMMYFUNCTION("IMPORTRANGE(""https://docs.google.com/spreadsheets/d/1SX6NBoVAgQJ6U1MVXOaj8PK2l7WJ3RER9xtqwdhxkhw/edit?usp=sharing"",""ปราจีนบุรี!I390"")"),0.0)</f>
        <v>0</v>
      </c>
      <c r="J495" s="469">
        <f>IFERROR(__xludf.DUMMYFUNCTION("IMPORTRANGE(""https://docs.google.com/spreadsheets/d/1SX6NBoVAgQJ6U1MVXOaj8PK2l7WJ3RER9xtqwdhxkhw/edit?usp=sharing"",""ปราจีนบุรี!J390"")"),0.0)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IFERROR(__xludf.DUMMYFUNCTION("IMPORTRANGE(""https://docs.google.com/spreadsheets/d/1SX6NBoVAgQJ6U1MVXOaj8PK2l7WJ3RER9xtqwdhxkhw/edit?usp=sharing"",""ปราจีนบุรี!I391"")"),0.0)</f>
        <v>0</v>
      </c>
      <c r="J496" s="469">
        <f>IFERROR(__xludf.DUMMYFUNCTION("IMPORTRANGE(""https://docs.google.com/spreadsheets/d/1SX6NBoVAgQJ6U1MVXOaj8PK2l7WJ3RER9xtqwdhxkhw/edit?usp=sharing"",""ปราจีนบุรี!J391"")"),0.0)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IFERROR(__xludf.DUMMYFUNCTION("IMPORTRANGE(""https://docs.google.com/spreadsheets/d/1SX6NBoVAgQJ6U1MVXOaj8PK2l7WJ3RER9xtqwdhxkhw/edit?usp=sharing"",""ปราจีนบุรี!I392"")"),495.0)</f>
        <v>495</v>
      </c>
      <c r="J497" s="476">
        <f>IFERROR(__xludf.DUMMYFUNCTION("IMPORTRANGE(""https://docs.google.com/spreadsheets/d/1SX6NBoVAgQJ6U1MVXOaj8PK2l7WJ3RER9xtqwdhxkhw/edit?usp=sharing"",""ปราจีนบุรี!J392"")"),0.0)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IFERROR(__xludf.DUMMYFUNCTION("IMPORTRANGE(""https://docs.google.com/spreadsheets/d/1SX6NBoVAgQJ6U1MVXOaj8PK2l7WJ3RER9xtqwdhxkhw/edit?usp=sharing"",""ปราจีนบุรี!I393"")"),495.0)</f>
        <v>495</v>
      </c>
      <c r="J498" s="453">
        <f>IFERROR(__xludf.DUMMYFUNCTION("IMPORTRANGE(""https://docs.google.com/spreadsheets/d/1SX6NBoVAgQJ6U1MVXOaj8PK2l7WJ3RER9xtqwdhxkhw/edit?usp=sharing"",""ปราจีนบุรี!J393"")"),0.0)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IFERROR(__xludf.DUMMYFUNCTION("IMPORTRANGE(""https://docs.google.com/spreadsheets/d/1SX6NBoVAgQJ6U1MVXOaj8PK2l7WJ3RER9xtqwdhxkhw/edit?usp=sharing"",""ปราจีนบุรี!I394"")"),17.0)</f>
        <v>17</v>
      </c>
      <c r="J499" s="453">
        <f>IFERROR(__xludf.DUMMYFUNCTION("IMPORTRANGE(""https://docs.google.com/spreadsheets/d/1SX6NBoVAgQJ6U1MVXOaj8PK2l7WJ3RER9xtqwdhxkhw/edit?usp=sharing"",""ปราจีนบุรี!J394"")"),0.0)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IFERROR(__xludf.DUMMYFUNCTION("IMPORTRANGE(""https://docs.google.com/spreadsheets/d/1SX6NBoVAgQJ6U1MVXOaj8PK2l7WJ3RER9xtqwdhxkhw/edit?usp=sharing"",""ปราจีนบุรี!I395"")"),0.0)</f>
        <v>0</v>
      </c>
      <c r="J500" s="195">
        <f>IFERROR(__xludf.DUMMYFUNCTION("IMPORTRANGE(""https://docs.google.com/spreadsheets/d/1SX6NBoVAgQJ6U1MVXOaj8PK2l7WJ3RER9xtqwdhxkhw/edit?usp=sharing"",""ปราจีนบุรี!J395"")"),0.0)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IFERROR(__xludf.DUMMYFUNCTION("IMPORTRANGE(""https://docs.google.com/spreadsheets/d/1SX6NBoVAgQJ6U1MVXOaj8PK2l7WJ3RER9xtqwdhxkhw/edit?usp=sharing"",""ปราจีนบุรี!I396"")"),0.0)</f>
        <v>0</v>
      </c>
      <c r="J501" s="195">
        <f>IFERROR(__xludf.DUMMYFUNCTION("IMPORTRANGE(""https://docs.google.com/spreadsheets/d/1SX6NBoVAgQJ6U1MVXOaj8PK2l7WJ3RER9xtqwdhxkhw/edit?usp=sharing"",""ปราจีนบุรี!J396"")"),0.0)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IFERROR(__xludf.DUMMYFUNCTION("IMPORTRANGE(""https://docs.google.com/spreadsheets/d/1SX6NBoVAgQJ6U1MVXOaj8PK2l7WJ3RER9xtqwdhxkhw/edit?usp=sharing"",""ปราจีนบุรี!I397"")"),0.0)</f>
        <v>0</v>
      </c>
      <c r="J502" s="223">
        <f>IFERROR(__xludf.DUMMYFUNCTION("IMPORTRANGE(""https://docs.google.com/spreadsheets/d/1SX6NBoVAgQJ6U1MVXOaj8PK2l7WJ3RER9xtqwdhxkhw/edit?usp=sharing"",""ปราจีนบุรี!J397"")"),0.0)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IFERROR(__xludf.DUMMYFUNCTION("IMPORTRANGE(""https://docs.google.com/spreadsheets/d/1SX6NBoVAgQJ6U1MVXOaj8PK2l7WJ3RER9xtqwdhxkhw/edit?usp=sharing"",""ปราจีนบุรี!I398"")"),0.0)</f>
        <v>0</v>
      </c>
      <c r="J503" s="232">
        <f>IFERROR(__xludf.DUMMYFUNCTION("IMPORTRANGE(""https://docs.google.com/spreadsheets/d/1SX6NBoVAgQJ6U1MVXOaj8PK2l7WJ3RER9xtqwdhxkhw/edit?usp=sharing"",""ปราจีนบุรี!J398"")"),0.0)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IFERROR(__xludf.DUMMYFUNCTION("IMPORTRANGE(""https://docs.google.com/spreadsheets/d/1SX6NBoVAgQJ6U1MVXOaj8PK2l7WJ3RER9xtqwdhxkhw/edit?usp=sharing"",""ปราจีนบุรี!I399"")"),0.0)</f>
        <v>0</v>
      </c>
      <c r="J504" s="223">
        <f>IFERROR(__xludf.DUMMYFUNCTION("IMPORTRANGE(""https://docs.google.com/spreadsheets/d/1SX6NBoVAgQJ6U1MVXOaj8PK2l7WJ3RER9xtqwdhxkhw/edit?usp=sharing"",""ปราจีนบุรี!J399"")"),0.0)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IFERROR(__xludf.DUMMYFUNCTION("IMPORTRANGE(""https://docs.google.com/spreadsheets/d/1SX6NBoVAgQJ6U1MVXOaj8PK2l7WJ3RER9xtqwdhxkhw/edit?usp=sharing"",""ปราจีนบุรี!I400"")"),0.0)</f>
        <v>0</v>
      </c>
      <c r="J505" s="232">
        <f>IFERROR(__xludf.DUMMYFUNCTION("IMPORTRANGE(""https://docs.google.com/spreadsheets/d/1SX6NBoVAgQJ6U1MVXOaj8PK2l7WJ3RER9xtqwdhxkhw/edit?usp=sharing"",""ปราจีนบุรี!J400"")"),0.0)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IFERROR(__xludf.DUMMYFUNCTION("IMPORTRANGE(""https://docs.google.com/spreadsheets/d/1SX6NBoVAgQJ6U1MVXOaj8PK2l7WJ3RER9xtqwdhxkhw/edit?usp=sharing"",""ปราจีนบุรี!I401"")"),0.0)</f>
        <v>0</v>
      </c>
      <c r="J506" s="223">
        <f>IFERROR(__xludf.DUMMYFUNCTION("IMPORTRANGE(""https://docs.google.com/spreadsheets/d/1SX6NBoVAgQJ6U1MVXOaj8PK2l7WJ3RER9xtqwdhxkhw/edit?usp=sharing"",""ปราจีนบุรี!J401"")"),0.0)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IFERROR(__xludf.DUMMYFUNCTION("IMPORTRANGE(""https://docs.google.com/spreadsheets/d/1SX6NBoVAgQJ6U1MVXOaj8PK2l7WJ3RER9xtqwdhxkhw/edit?usp=sharing"",""ปราจีนบุรี!I402"")"),0.0)</f>
        <v>0</v>
      </c>
      <c r="J507" s="232">
        <f>IFERROR(__xludf.DUMMYFUNCTION("IMPORTRANGE(""https://docs.google.com/spreadsheets/d/1SX6NBoVAgQJ6U1MVXOaj8PK2l7WJ3RER9xtqwdhxkhw/edit?usp=sharing"",""ปราจีนบุรี!J402"")"),0.0)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IFERROR(__xludf.DUMMYFUNCTION("IMPORTRANGE(""https://docs.google.com/spreadsheets/d/1SX6NBoVAgQJ6U1MVXOaj8PK2l7WJ3RER9xtqwdhxkhw/edit?usp=sharing"",""ปราจีนบุรี!I403"")"),0.0)</f>
        <v>0</v>
      </c>
      <c r="J508" s="195">
        <f>IFERROR(__xludf.DUMMYFUNCTION("IMPORTRANGE(""https://docs.google.com/spreadsheets/d/1SX6NBoVAgQJ6U1MVXOaj8PK2l7WJ3RER9xtqwdhxkhw/edit?usp=sharing"",""ปราจีนบุรี!J403"")"),0.0)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IFERROR(__xludf.DUMMYFUNCTION("IMPORTRANGE(""https://docs.google.com/spreadsheets/d/1SX6NBoVAgQJ6U1MVXOaj8PK2l7WJ3RER9xtqwdhxkhw/edit?usp=sharing"",""ปราจีนบุรี!I404"")"),0.0)</f>
        <v>0</v>
      </c>
      <c r="J509" s="195">
        <f>IFERROR(__xludf.DUMMYFUNCTION("IMPORTRANGE(""https://docs.google.com/spreadsheets/d/1SX6NBoVAgQJ6U1MVXOaj8PK2l7WJ3RER9xtqwdhxkhw/edit?usp=sharing"",""ปราจีนบุรี!J404"")"),0.0)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IFERROR(__xludf.DUMMYFUNCTION("IMPORTRANGE(""https://docs.google.com/spreadsheets/d/1SX6NBoVAgQJ6U1MVXOaj8PK2l7WJ3RER9xtqwdhxkhw/edit?usp=sharing"",""ปราจีนบุรี!I405"")"),0.0)</f>
        <v>0</v>
      </c>
      <c r="J510" s="232">
        <f>IFERROR(__xludf.DUMMYFUNCTION("IMPORTRANGE(""https://docs.google.com/spreadsheets/d/1SX6NBoVAgQJ6U1MVXOaj8PK2l7WJ3RER9xtqwdhxkhw/edit?usp=sharing"",""ปราจีนบุรี!J405"")"),0.0)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IFERROR(__xludf.DUMMYFUNCTION("IMPORTRANGE(""https://docs.google.com/spreadsheets/d/1SX6NBoVAgQJ6U1MVXOaj8PK2l7WJ3RER9xtqwdhxkhw/edit?usp=sharing"",""ปราจีนบุรี!I406"")"),0.0)</f>
        <v>0</v>
      </c>
      <c r="J511" s="232">
        <f>IFERROR(__xludf.DUMMYFUNCTION("IMPORTRANGE(""https://docs.google.com/spreadsheets/d/1SX6NBoVAgQJ6U1MVXOaj8PK2l7WJ3RER9xtqwdhxkhw/edit?usp=sharing"",""ปราจีนบุรี!J406"")"),0.0)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IFERROR(__xludf.DUMMYFUNCTION("IMPORTRANGE(""https://docs.google.com/spreadsheets/d/1SX6NBoVAgQJ6U1MVXOaj8PK2l7WJ3RER9xtqwdhxkhw/edit?usp=sharing"",""ปราจีนบุรี!I407"")"),0.0)</f>
        <v>0</v>
      </c>
      <c r="J512" s="232">
        <f>IFERROR(__xludf.DUMMYFUNCTION("IMPORTRANGE(""https://docs.google.com/spreadsheets/d/1SX6NBoVAgQJ6U1MVXOaj8PK2l7WJ3RER9xtqwdhxkhw/edit?usp=sharing"",""ปราจีนบุรี!J407"")"),0.0)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IFERROR(__xludf.DUMMYFUNCTION("IMPORTRANGE(""https://docs.google.com/spreadsheets/d/1SX6NBoVAgQJ6U1MVXOaj8PK2l7WJ3RER9xtqwdhxkhw/edit?usp=sharing"",""ปราจีนบุรี!I408"")"),0.0)</f>
        <v>0</v>
      </c>
      <c r="J513" s="232">
        <f>IFERROR(__xludf.DUMMYFUNCTION("IMPORTRANGE(""https://docs.google.com/spreadsheets/d/1SX6NBoVAgQJ6U1MVXOaj8PK2l7WJ3RER9xtqwdhxkhw/edit?usp=sharing"",""ปราจีนบุรี!J408"")"),0.0)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IFERROR(__xludf.DUMMYFUNCTION("IMPORTRANGE(""https://docs.google.com/spreadsheets/d/1SX6NBoVAgQJ6U1MVXOaj8PK2l7WJ3RER9xtqwdhxkhw/edit?usp=sharing"",""ปราจีนบุรี!I409"")"),0.0)</f>
        <v>0</v>
      </c>
      <c r="J514" s="232">
        <f>IFERROR(__xludf.DUMMYFUNCTION("IMPORTRANGE(""https://docs.google.com/spreadsheets/d/1SX6NBoVAgQJ6U1MVXOaj8PK2l7WJ3RER9xtqwdhxkhw/edit?usp=sharing"",""ปราจีนบุรี!J409"")"),0.0)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IFERROR(__xludf.DUMMYFUNCTION("IMPORTRANGE(""https://docs.google.com/spreadsheets/d/1SX6NBoVAgQJ6U1MVXOaj8PK2l7WJ3RER9xtqwdhxkhw/edit?usp=sharing"",""ปราจีนบุรี!I410"")"),0.0)</f>
        <v>0</v>
      </c>
      <c r="J515" s="232">
        <f>IFERROR(__xludf.DUMMYFUNCTION("IMPORTRANGE(""https://docs.google.com/spreadsheets/d/1SX6NBoVAgQJ6U1MVXOaj8PK2l7WJ3RER9xtqwdhxkhw/edit?usp=sharing"",""ปราจีนบุรี!J410"")"),0.0)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IFERROR(__xludf.DUMMYFUNCTION("IMPORTRANGE(""https://docs.google.com/spreadsheets/d/1SX6NBoVAgQJ6U1MVXOaj8PK2l7WJ3RER9xtqwdhxkhw/edit?usp=sharing"",""ปราจีนบุรี!I411"")"),0.0)</f>
        <v>0</v>
      </c>
      <c r="J516" s="301">
        <f>IFERROR(__xludf.DUMMYFUNCTION("IMPORTRANGE(""https://docs.google.com/spreadsheets/d/1SX6NBoVAgQJ6U1MVXOaj8PK2l7WJ3RER9xtqwdhxkhw/edit?usp=sharing"",""ปราจีนบุรี!J411"")"),0.0)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IFERROR(__xludf.DUMMYFUNCTION("IMPORTRANGE(""https://docs.google.com/spreadsheets/d/1SX6NBoVAgQJ6U1MVXOaj8PK2l7WJ3RER9xtqwdhxkhw/edit?usp=sharing"",""ปราจีนบุรี!I412"")"),0.0)</f>
        <v>0</v>
      </c>
      <c r="J517" s="317">
        <f>IFERROR(__xludf.DUMMYFUNCTION("IMPORTRANGE(""https://docs.google.com/spreadsheets/d/1SX6NBoVAgQJ6U1MVXOaj8PK2l7WJ3RER9xtqwdhxkhw/edit?usp=sharing"",""ปราจีนบุรี!J412"")"),0.0)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IFERROR(__xludf.DUMMYFUNCTION("IMPORTRANGE(""https://docs.google.com/spreadsheets/d/1SX6NBoVAgQJ6U1MVXOaj8PK2l7WJ3RER9xtqwdhxkhw/edit?usp=sharing"",""ปราจีนบุรี!I413"")"),0.0)</f>
        <v>0</v>
      </c>
      <c r="J518" s="317">
        <f>IFERROR(__xludf.DUMMYFUNCTION("IMPORTRANGE(""https://docs.google.com/spreadsheets/d/1SX6NBoVAgQJ6U1MVXOaj8PK2l7WJ3RER9xtqwdhxkhw/edit?usp=sharing"",""ปราจีนบุรี!J413"")"),0.0)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IFERROR(__xludf.DUMMYFUNCTION("IMPORTRANGE(""https://docs.google.com/spreadsheets/d/1SX6NBoVAgQJ6U1MVXOaj8PK2l7WJ3RER9xtqwdhxkhw/edit?usp=sharing"",""ปราจีนบุรี!I414"")"),0.0)</f>
        <v>0</v>
      </c>
      <c r="J519" s="222">
        <f>IFERROR(__xludf.DUMMYFUNCTION("IMPORTRANGE(""https://docs.google.com/spreadsheets/d/1SX6NBoVAgQJ6U1MVXOaj8PK2l7WJ3RER9xtqwdhxkhw/edit?usp=sharing"",""ปราจีนบุรี!J414"")"),0.0)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IFERROR(__xludf.DUMMYFUNCTION("IMPORTRANGE(""https://docs.google.com/spreadsheets/d/1SX6NBoVAgQJ6U1MVXOaj8PK2l7WJ3RER9xtqwdhxkhw/edit?usp=sharing"",""ปราจีนบุรี!I415"")"),0.0)</f>
        <v>0</v>
      </c>
      <c r="J520" s="222">
        <f>IFERROR(__xludf.DUMMYFUNCTION("IMPORTRANGE(""https://docs.google.com/spreadsheets/d/1SX6NBoVAgQJ6U1MVXOaj8PK2l7WJ3RER9xtqwdhxkhw/edit?usp=sharing"",""ปราจีนบุรี!J415"")"),0.0)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IFERROR(__xludf.DUMMYFUNCTION("IMPORTRANGE(""https://docs.google.com/spreadsheets/d/1SX6NBoVAgQJ6U1MVXOaj8PK2l7WJ3RER9xtqwdhxkhw/edit?usp=sharing"",""ปราจีนบุรี!I416"")"),0.0)</f>
        <v>0</v>
      </c>
      <c r="J521" s="222">
        <f>IFERROR(__xludf.DUMMYFUNCTION("IMPORTRANGE(""https://docs.google.com/spreadsheets/d/1SX6NBoVAgQJ6U1MVXOaj8PK2l7WJ3RER9xtqwdhxkhw/edit?usp=sharing"",""ปราจีนบุรี!J416"")"),0.0)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IFERROR(__xludf.DUMMYFUNCTION("IMPORTRANGE(""https://docs.google.com/spreadsheets/d/1SX6NBoVAgQJ6U1MVXOaj8PK2l7WJ3RER9xtqwdhxkhw/edit?usp=sharing"",""ปราจีนบุรี!I417"")"),0.0)</f>
        <v>0</v>
      </c>
      <c r="J522" s="222">
        <f>IFERROR(__xludf.DUMMYFUNCTION("IMPORTRANGE(""https://docs.google.com/spreadsheets/d/1SX6NBoVAgQJ6U1MVXOaj8PK2l7WJ3RER9xtqwdhxkhw/edit?usp=sharing"",""ปราจีนบุรี!J417"")"),0.0)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IFERROR(__xludf.DUMMYFUNCTION("IMPORTRANGE(""https://docs.google.com/spreadsheets/d/1SX6NBoVAgQJ6U1MVXOaj8PK2l7WJ3RER9xtqwdhxkhw/edit?usp=sharing"",""ปราจีนบุรี!I418"")"),0.0)</f>
        <v>0</v>
      </c>
      <c r="J523" s="222">
        <f>IFERROR(__xludf.DUMMYFUNCTION("IMPORTRANGE(""https://docs.google.com/spreadsheets/d/1SX6NBoVAgQJ6U1MVXOaj8PK2l7WJ3RER9xtqwdhxkhw/edit?usp=sharing"",""ปราจีนบุรี!J418"")"),0.0)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IFERROR(__xludf.DUMMYFUNCTION("IMPORTRANGE(""https://docs.google.com/spreadsheets/d/1SX6NBoVAgQJ6U1MVXOaj8PK2l7WJ3RER9xtqwdhxkhw/edit?usp=sharing"",""ปราจีนบุรี!I419"")"),0.0)</f>
        <v>0</v>
      </c>
      <c r="J524" s="222">
        <f>IFERROR(__xludf.DUMMYFUNCTION("IMPORTRANGE(""https://docs.google.com/spreadsheets/d/1SX6NBoVAgQJ6U1MVXOaj8PK2l7WJ3RER9xtqwdhxkhw/edit?usp=sharing"",""ปราจีนบุรี!J419"")"),0.0)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IFERROR(__xludf.DUMMYFUNCTION("IMPORTRANGE(""https://docs.google.com/spreadsheets/d/1SX6NBoVAgQJ6U1MVXOaj8PK2l7WJ3RER9xtqwdhxkhw/edit?usp=sharing"",""ปราจีนบุรี!I420"")"),0.0)</f>
        <v>0</v>
      </c>
      <c r="J525" s="317">
        <f>IFERROR(__xludf.DUMMYFUNCTION("IMPORTRANGE(""https://docs.google.com/spreadsheets/d/1SX6NBoVAgQJ6U1MVXOaj8PK2l7WJ3RER9xtqwdhxkhw/edit?usp=sharing"",""ปราจีนบุรี!J420"")"),0.0)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IFERROR(__xludf.DUMMYFUNCTION("IMPORTRANGE(""https://docs.google.com/spreadsheets/d/1SX6NBoVAgQJ6U1MVXOaj8PK2l7WJ3RER9xtqwdhxkhw/edit?usp=sharing"",""ปราจีนบุรี!I421"")"),0.0)</f>
        <v>0</v>
      </c>
      <c r="J526" s="317">
        <f>IFERROR(__xludf.DUMMYFUNCTION("IMPORTRANGE(""https://docs.google.com/spreadsheets/d/1SX6NBoVAgQJ6U1MVXOaj8PK2l7WJ3RER9xtqwdhxkhw/edit?usp=sharing"",""ปราจีนบุรี!J421"")"),0.0)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IFERROR(__xludf.DUMMYFUNCTION("IMPORTRANGE(""https://docs.google.com/spreadsheets/d/1SX6NBoVAgQJ6U1MVXOaj8PK2l7WJ3RER9xtqwdhxkhw/edit?usp=sharing"",""ปราจีนบุรี!I422"")"),0.0)</f>
        <v>0</v>
      </c>
      <c r="J527" s="232">
        <f>IFERROR(__xludf.DUMMYFUNCTION("IMPORTRANGE(""https://docs.google.com/spreadsheets/d/1SX6NBoVAgQJ6U1MVXOaj8PK2l7WJ3RER9xtqwdhxkhw/edit?usp=sharing"",""ปราจีนบุรี!J422"")"),0.0)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IFERROR(__xludf.DUMMYFUNCTION("IMPORTRANGE(""https://docs.google.com/spreadsheets/d/1SX6NBoVAgQJ6U1MVXOaj8PK2l7WJ3RER9xtqwdhxkhw/edit?usp=sharing"",""ปราจีนบุรี!I423"")"),0.0)</f>
        <v>0</v>
      </c>
      <c r="J528" s="232">
        <f>IFERROR(__xludf.DUMMYFUNCTION("IMPORTRANGE(""https://docs.google.com/spreadsheets/d/1SX6NBoVAgQJ6U1MVXOaj8PK2l7WJ3RER9xtqwdhxkhw/edit?usp=sharing"",""ปราจีนบุรี!J423"")"),0.0)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IFERROR(__xludf.DUMMYFUNCTION("IMPORTRANGE(""https://docs.google.com/spreadsheets/d/1SX6NBoVAgQJ6U1MVXOaj8PK2l7WJ3RER9xtqwdhxkhw/edit?usp=sharing"",""ปราจีนบุรี!I424"")"),0.0)</f>
        <v>0</v>
      </c>
      <c r="J529" s="232">
        <f>IFERROR(__xludf.DUMMYFUNCTION("IMPORTRANGE(""https://docs.google.com/spreadsheets/d/1SX6NBoVAgQJ6U1MVXOaj8PK2l7WJ3RER9xtqwdhxkhw/edit?usp=sharing"",""ปราจีนบุรี!J424"")"),0.0)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IFERROR(__xludf.DUMMYFUNCTION("IMPORTRANGE(""https://docs.google.com/spreadsheets/d/1SX6NBoVAgQJ6U1MVXOaj8PK2l7WJ3RER9xtqwdhxkhw/edit?usp=sharing"",""ปราจีนบุรี!I425"")"),0.0)</f>
        <v>0</v>
      </c>
      <c r="J530" s="232">
        <f>IFERROR(__xludf.DUMMYFUNCTION("IMPORTRANGE(""https://docs.google.com/spreadsheets/d/1SX6NBoVAgQJ6U1MVXOaj8PK2l7WJ3RER9xtqwdhxkhw/edit?usp=sharing"",""ปราจีนบุรี!J425"")"),0.0)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IFERROR(__xludf.DUMMYFUNCTION("IMPORTRANGE(""https://docs.google.com/spreadsheets/d/1SX6NBoVAgQJ6U1MVXOaj8PK2l7WJ3RER9xtqwdhxkhw/edit?usp=sharing"",""ปราจีนบุรี!I426"")"),0.0)</f>
        <v>0</v>
      </c>
      <c r="J531" s="232">
        <f>IFERROR(__xludf.DUMMYFUNCTION("IMPORTRANGE(""https://docs.google.com/spreadsheets/d/1SX6NBoVAgQJ6U1MVXOaj8PK2l7WJ3RER9xtqwdhxkhw/edit?usp=sharing"",""ปราจีนบุรี!J426"")"),0.0)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IFERROR(__xludf.DUMMYFUNCTION("IMPORTRANGE(""https://docs.google.com/spreadsheets/d/1SX6NBoVAgQJ6U1MVXOaj8PK2l7WJ3RER9xtqwdhxkhw/edit?usp=sharing"",""ปราจีนบุรี!I427"")"),0.0)</f>
        <v>0</v>
      </c>
      <c r="J532" s="499">
        <f>IFERROR(__xludf.DUMMYFUNCTION("IMPORTRANGE(""https://docs.google.com/spreadsheets/d/1SX6NBoVAgQJ6U1MVXOaj8PK2l7WJ3RER9xtqwdhxkhw/edit?usp=sharing"",""ปราจีนบุรี!J427"")"),0.0)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IFERROR(__xludf.DUMMYFUNCTION("IMPORTRANGE(""https://docs.google.com/spreadsheets/d/1SX6NBoVAgQJ6U1MVXOaj8PK2l7WJ3RER9xtqwdhxkhw/edit?usp=sharing"",""ปราจีนบุรี!I428"")"),22.0)</f>
        <v>22</v>
      </c>
      <c r="J533" s="443">
        <f>IFERROR(__xludf.DUMMYFUNCTION("IMPORTRANGE(""https://docs.google.com/spreadsheets/d/1SX6NBoVAgQJ6U1MVXOaj8PK2l7WJ3RER9xtqwdhxkhw/edit?usp=sharing"",""ปราจีนบุรี!J428"")"),0.0)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IFERROR(__xludf.DUMMYFUNCTION("IMPORTRANGE(""https://docs.google.com/spreadsheets/d/1SX6NBoVAgQJ6U1MVXOaj8PK2l7WJ3RER9xtqwdhxkhw/edit?usp=sharing"",""ปราจีนบุรี!L428"")"),34340.0)</f>
        <v>34340</v>
      </c>
      <c r="M533" s="445"/>
      <c r="N533" s="445">
        <f>IFERROR(__xludf.DUMMYFUNCTION("IMPORTRANGE(""https://docs.google.com/spreadsheets/d/1SX6NBoVAgQJ6U1MVXOaj8PK2l7WJ3RER9xtqwdhxkhw/edit?usp=sharing"",""ปราจีนบุรี!M428"")"),0.0)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IFERROR(__xludf.DUMMYFUNCTION("IMPORTRANGE(""https://docs.google.com/spreadsheets/d/1SX6NBoVAgQJ6U1MVXOaj8PK2l7WJ3RER9xtqwdhxkhw/edit?usp=sharing"",""ปราจีนบุรี!L429"")"),0.0)</f>
        <v>0</v>
      </c>
      <c r="M534" s="197"/>
      <c r="N534" s="203">
        <f>IFERROR(__xludf.DUMMYFUNCTION("IMPORTRANGE(""https://docs.google.com/spreadsheets/d/1SX6NBoVAgQJ6U1MVXOaj8PK2l7WJ3RER9xtqwdhxkhw/edit?usp=sharing"",""ปราจีนบุรี!M429"")"),0.0)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IFERROR(__xludf.DUMMYFUNCTION("IMPORTRANGE(""https://docs.google.com/spreadsheets/d/1SX6NBoVAgQJ6U1MVXOaj8PK2l7WJ3RER9xtqwdhxkhw/edit?usp=sharing"",""ปราจีนบุรี!L430"")"),34340.0)</f>
        <v>34340</v>
      </c>
      <c r="M535" s="198"/>
      <c r="N535" s="203">
        <f>IFERROR(__xludf.DUMMYFUNCTION("IMPORTRANGE(""https://docs.google.com/spreadsheets/d/1SX6NBoVAgQJ6U1MVXOaj8PK2l7WJ3RER9xtqwdhxkhw/edit?usp=sharing"",""ปราจีนบุรี!M430"")"),0.0)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IFERROR(__xludf.DUMMYFUNCTION("IMPORTRANGE(""https://docs.google.com/spreadsheets/d/1SX6NBoVAgQJ6U1MVXOaj8PK2l7WJ3RER9xtqwdhxkhw/edit?usp=sharing"",""ปราจีนบุรี!L431"")"),0.0)</f>
        <v>0</v>
      </c>
      <c r="M536" s="203"/>
      <c r="N536" s="203">
        <f>IFERROR(__xludf.DUMMYFUNCTION("IMPORTRANGE(""https://docs.google.com/spreadsheets/d/1SX6NBoVAgQJ6U1MVXOaj8PK2l7WJ3RER9xtqwdhxkhw/edit?usp=sharing"",""ปราจีนบุรี!M431"")"),0.0)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IFERROR(__xludf.DUMMYFUNCTION("IMPORTRANGE(""https://docs.google.com/spreadsheets/d/1SX6NBoVAgQJ6U1MVXOaj8PK2l7WJ3RER9xtqwdhxkhw/edit?usp=sharing"",""ปราจีนบุรี!L432"")"),34340.0)</f>
        <v>34340</v>
      </c>
      <c r="M537" s="203"/>
      <c r="N537" s="203">
        <f>IFERROR(__xludf.DUMMYFUNCTION("IMPORTRANGE(""https://docs.google.com/spreadsheets/d/1SX6NBoVAgQJ6U1MVXOaj8PK2l7WJ3RER9xtqwdhxkhw/edit?usp=sharing"",""ปราจีนบุรี!M432"")"),0.0)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IFERROR(__xludf.DUMMYFUNCTION("IMPORTRANGE(""https://docs.google.com/spreadsheets/d/1SX6NBoVAgQJ6U1MVXOaj8PK2l7WJ3RER9xtqwdhxkhw/edit?usp=sharing"",""ปราจีนบุรี!M433"")"),0.0)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IFERROR(__xludf.DUMMYFUNCTION("IMPORTRANGE(""https://docs.google.com/spreadsheets/d/1SX6NBoVAgQJ6U1MVXOaj8PK2l7WJ3RER9xtqwdhxkhw/edit?usp=sharing"",""ปราจีนบุรี!M434"")"),0.0)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IFERROR(__xludf.DUMMYFUNCTION("IMPORTRANGE(""https://docs.google.com/spreadsheets/d/1SX6NBoVAgQJ6U1MVXOaj8PK2l7WJ3RER9xtqwdhxkhw/edit?usp=sharing"",""ปราจีนบุรี!M435"")"),0.0)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IFERROR(__xludf.DUMMYFUNCTION("IMPORTRANGE(""https://docs.google.com/spreadsheets/d/1SX6NBoVAgQJ6U1MVXOaj8PK2l7WJ3RER9xtqwdhxkhw/edit?usp=sharing"",""ปราจีนบุรี!M436"")"),0.0)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IFERROR(__xludf.DUMMYFUNCTION("IMPORTRANGE(""https://docs.google.com/spreadsheets/d/1SX6NBoVAgQJ6U1MVXOaj8PK2l7WJ3RER9xtqwdhxkhw/edit?usp=sharing"",""ปราจีนบุรี!J438"")"),1.0)</f>
        <v>1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IFERROR(__xludf.DUMMYFUNCTION("IMPORTRANGE(""https://docs.google.com/spreadsheets/d/1SX6NBoVAgQJ6U1MVXOaj8PK2l7WJ3RER9xtqwdhxkhw/edit?usp=sharing"",""ปราจีนบุรี!J439"")"),0.0)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IFERROR(__xludf.DUMMYFUNCTION("IMPORTRANGE(""https://docs.google.com/spreadsheets/d/1SX6NBoVAgQJ6U1MVXOaj8PK2l7WJ3RER9xtqwdhxkhw/edit?usp=sharing"",""ปราจีนบุรี!J440"")"),0.0)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IFERROR(__xludf.DUMMYFUNCTION("IMPORTRANGE(""https://docs.google.com/spreadsheets/d/1SX6NBoVAgQJ6U1MVXOaj8PK2l7WJ3RER9xtqwdhxkhw/edit?usp=sharing"",""ปราจีนบุรี!J441"")"),0.0)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IFERROR(__xludf.DUMMYFUNCTION("IMPORTRANGE(""https://docs.google.com/spreadsheets/d/1SX6NBoVAgQJ6U1MVXOaj8PK2l7WJ3RER9xtqwdhxkhw/edit?usp=sharing"",""ปราจีนบุรี!I442"")"),22.0)</f>
        <v>22</v>
      </c>
      <c r="J547" s="223">
        <f>IFERROR(__xludf.DUMMYFUNCTION("IMPORTRANGE(""https://docs.google.com/spreadsheets/d/1SX6NBoVAgQJ6U1MVXOaj8PK2l7WJ3RER9xtqwdhxkhw/edit?usp=sharing"",""ปราจีนบุรี!J442"")"),0.0)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IFERROR(__xludf.DUMMYFUNCTION("IMPORTRANGE(""https://docs.google.com/spreadsheets/d/1SX6NBoVAgQJ6U1MVXOaj8PK2l7WJ3RER9xtqwdhxkhw/edit?usp=sharing"",""ปราจีนบุรี!J166"")"),0.0)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IFERROR(__xludf.DUMMYFUNCTION("IMPORTRANGE(""https://docs.google.com/spreadsheets/d/1SX6NBoVAgQJ6U1MVXOaj8PK2l7WJ3RER9xtqwdhxkhw/edit?usp=sharing"",""ปราจีนบุรี!J444"")"),0.0)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IFERROR(__xludf.DUMMYFUNCTION("IMPORTRANGE(""https://docs.google.com/spreadsheets/d/1SX6NBoVAgQJ6U1MVXOaj8PK2l7WJ3RER9xtqwdhxkhw/edit?usp=sharing"",""ปราจีนบุรี!J445"")"),0.0)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IFERROR(__xludf.DUMMYFUNCTION("IMPORTRANGE(""https://docs.google.com/spreadsheets/d/1SX6NBoVAgQJ6U1MVXOaj8PK2l7WJ3RER9xtqwdhxkhw/edit?usp=sharing"",""ปราจีนบุรี!I446"")"),0.0)</f>
        <v>0</v>
      </c>
      <c r="J551" s="443">
        <f>IFERROR(__xludf.DUMMYFUNCTION("IMPORTRANGE(""https://docs.google.com/spreadsheets/d/1SX6NBoVAgQJ6U1MVXOaj8PK2l7WJ3RER9xtqwdhxkhw/edit?usp=sharing"",""ปราจีนบุรี!J446"")"),0.0)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IFERROR(__xludf.DUMMYFUNCTION("IMPORTRANGE(""https://docs.google.com/spreadsheets/d/1SX6NBoVAgQJ6U1MVXOaj8PK2l7WJ3RER9xtqwdhxkhw/edit?usp=sharing"",""ปราจีนบุรี!L446"")"),0.0)</f>
        <v>0</v>
      </c>
      <c r="M551" s="445"/>
      <c r="N551" s="445">
        <f>IFERROR(__xludf.DUMMYFUNCTION("IMPORTRANGE(""https://docs.google.com/spreadsheets/d/1SX6NBoVAgQJ6U1MVXOaj8PK2l7WJ3RER9xtqwdhxkhw/edit?usp=sharing"",""ปราจีนบุรี!M446"")"),0.0)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IFERROR(__xludf.DUMMYFUNCTION("IMPORTRANGE(""https://docs.google.com/spreadsheets/d/1SX6NBoVAgQJ6U1MVXOaj8PK2l7WJ3RER9xtqwdhxkhw/edit?usp=sharing"",""ปราจีนบุรี!L447"")"),0.0)</f>
        <v>0</v>
      </c>
      <c r="M552" s="197"/>
      <c r="N552" s="203">
        <f>IFERROR(__xludf.DUMMYFUNCTION("IMPORTRANGE(""https://docs.google.com/spreadsheets/d/1SX6NBoVAgQJ6U1MVXOaj8PK2l7WJ3RER9xtqwdhxkhw/edit?usp=sharing"",""ปราจีนบุรี!M447"")"),0.0)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IFERROR(__xludf.DUMMYFUNCTION("IMPORTRANGE(""https://docs.google.com/spreadsheets/d/1SX6NBoVAgQJ6U1MVXOaj8PK2l7WJ3RER9xtqwdhxkhw/edit?usp=sharing"",""ปราจีนบุรี!L448"")"),0.0)</f>
        <v>0</v>
      </c>
      <c r="M553" s="198"/>
      <c r="N553" s="203">
        <f>IFERROR(__xludf.DUMMYFUNCTION("IMPORTRANGE(""https://docs.google.com/spreadsheets/d/1SX6NBoVAgQJ6U1MVXOaj8PK2l7WJ3RER9xtqwdhxkhw/edit?usp=sharing"",""ปราจีนบุรี!M448"")"),0.0)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IFERROR(__xludf.DUMMYFUNCTION("IMPORTRANGE(""https://docs.google.com/spreadsheets/d/1SX6NBoVAgQJ6U1MVXOaj8PK2l7WJ3RER9xtqwdhxkhw/edit?usp=sharing"",""ปราจีนบุรี!L449"")"),0.0)</f>
        <v>0</v>
      </c>
      <c r="M554" s="203"/>
      <c r="N554" s="203">
        <f>IFERROR(__xludf.DUMMYFUNCTION("IMPORTRANGE(""https://docs.google.com/spreadsheets/d/1SX6NBoVAgQJ6U1MVXOaj8PK2l7WJ3RER9xtqwdhxkhw/edit?usp=sharing"",""ปราจีนบุรี!M449"")"),0.0)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IFERROR(__xludf.DUMMYFUNCTION("IMPORTRANGE(""https://docs.google.com/spreadsheets/d/1SX6NBoVAgQJ6U1MVXOaj8PK2l7WJ3RER9xtqwdhxkhw/edit?usp=sharing"",""ปราจีนบุรี!L450"")"),0.0)</f>
        <v>0</v>
      </c>
      <c r="M555" s="203"/>
      <c r="N555" s="203">
        <f>IFERROR(__xludf.DUMMYFUNCTION("IMPORTRANGE(""https://docs.google.com/spreadsheets/d/1SX6NBoVAgQJ6U1MVXOaj8PK2l7WJ3RER9xtqwdhxkhw/edit?usp=sharing"",""ปราจีนบุรี!M450"")"),0.0)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IFERROR(__xludf.DUMMYFUNCTION("IMPORTRANGE(""https://docs.google.com/spreadsheets/d/1SX6NBoVAgQJ6U1MVXOaj8PK2l7WJ3RER9xtqwdhxkhw/edit?usp=sharing"",""ปราจีนบุรี!M451"")"),0.0)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IFERROR(__xludf.DUMMYFUNCTION("IMPORTRANGE(""https://docs.google.com/spreadsheets/d/1SX6NBoVAgQJ6U1MVXOaj8PK2l7WJ3RER9xtqwdhxkhw/edit?usp=sharing"",""ปราจีนบุรี!M452"")"),0.0)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IFERROR(__xludf.DUMMYFUNCTION("IMPORTRANGE(""https://docs.google.com/spreadsheets/d/1SX6NBoVAgQJ6U1MVXOaj8PK2l7WJ3RER9xtqwdhxkhw/edit?usp=sharing"",""ปราจีนบุรี!M453"")"),0.0)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IFERROR(__xludf.DUMMYFUNCTION("IMPORTRANGE(""https://docs.google.com/spreadsheets/d/1SX6NBoVAgQJ6U1MVXOaj8PK2l7WJ3RER9xtqwdhxkhw/edit?usp=sharing"",""ปราจีนบุรี!M454"")"),0.0)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IFERROR(__xludf.DUMMYFUNCTION("IMPORTRANGE(""https://docs.google.com/spreadsheets/d/1SX6NBoVAgQJ6U1MVXOaj8PK2l7WJ3RER9xtqwdhxkhw/edit?usp=sharing"",""ปราจีนบุรี!I455"")"),0.0)</f>
        <v>0</v>
      </c>
      <c r="J560" s="195">
        <f>IFERROR(__xludf.DUMMYFUNCTION("IMPORTRANGE(""https://docs.google.com/spreadsheets/d/1SX6NBoVAgQJ6U1MVXOaj8PK2l7WJ3RER9xtqwdhxkhw/edit?usp=sharing"",""ปราจีนบุรี!J455"")"),0.0)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IFERROR(__xludf.DUMMYFUNCTION("IMPORTRANGE(""https://docs.google.com/spreadsheets/d/1SX6NBoVAgQJ6U1MVXOaj8PK2l7WJ3RER9xtqwdhxkhw/edit?usp=sharing"",""ปราจีนบุรี!I456"")"),0.0)</f>
        <v>0</v>
      </c>
      <c r="J561" s="238">
        <f>IFERROR(__xludf.DUMMYFUNCTION("IMPORTRANGE(""https://docs.google.com/spreadsheets/d/1SX6NBoVAgQJ6U1MVXOaj8PK2l7WJ3RER9xtqwdhxkhw/edit?usp=sharing"",""ปราจีนบุรี!J456"")"),0.0)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IFERROR(__xludf.DUMMYFUNCTION("IMPORTRANGE(""https://docs.google.com/spreadsheets/d/1SX6NBoVAgQJ6U1MVXOaj8PK2l7WJ3RER9xtqwdhxkhw/edit?usp=sharing"",""ปราจีนบุรี!I457"")"),"")</f>
        <v/>
      </c>
      <c r="J562" s="238" t="str">
        <f>IFERROR(__xludf.DUMMYFUNCTION("IMPORTRANGE(""https://docs.google.com/spreadsheets/d/1SX6NBoVAgQJ6U1MVXOaj8PK2l7WJ3RER9xtqwdhxkhw/edit?usp=sharing"",""ปราจีนบุรี!J457"")"),"")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IFERROR(__xludf.DUMMYFUNCTION("IMPORTRANGE(""https://docs.google.com/spreadsheets/d/1SX6NBoVAgQJ6U1MVXOaj8PK2l7WJ3RER9xtqwdhxkhw/edit?usp=sharing"",""ปราจีนบุรี!I458"")"),"")</f>
        <v/>
      </c>
      <c r="J563" s="222" t="str">
        <f>IFERROR(__xludf.DUMMYFUNCTION("IMPORTRANGE(""https://docs.google.com/spreadsheets/d/1SX6NBoVAgQJ6U1MVXOaj8PK2l7WJ3RER9xtqwdhxkhw/edit?usp=sharing"",""ปราจีนบุรี!J458"")"),"")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IFERROR(__xludf.DUMMYFUNCTION("IMPORTRANGE(""https://docs.google.com/spreadsheets/d/1SX6NBoVAgQJ6U1MVXOaj8PK2l7WJ3RER9xtqwdhxkhw/edit?usp=sharing"",""ปราจีนบุรี!I459"")"),500.0)</f>
        <v>500</v>
      </c>
      <c r="J564" s="404">
        <f>IFERROR(__xludf.DUMMYFUNCTION("IMPORTRANGE(""https://docs.google.com/spreadsheets/d/1SX6NBoVAgQJ6U1MVXOaj8PK2l7WJ3RER9xtqwdhxkhw/edit?usp=sharing"",""ปราจีนบุรี!J459"")"),195.0)</f>
        <v>195</v>
      </c>
      <c r="K564" s="405">
        <f t="shared" si="122"/>
        <v>39</v>
      </c>
      <c r="L564" s="406">
        <f>IFERROR(__xludf.DUMMYFUNCTION("IMPORTRANGE(""https://docs.google.com/spreadsheets/d/1SX6NBoVAgQJ6U1MVXOaj8PK2l7WJ3RER9xtqwdhxkhw/edit?usp=sharing"",""ปราจีนบุรี!L459"")"),128480.0)</f>
        <v>128480</v>
      </c>
      <c r="M564" s="406"/>
      <c r="N564" s="406">
        <f>IFERROR(__xludf.DUMMYFUNCTION("IMPORTRANGE(""https://docs.google.com/spreadsheets/d/1SX6NBoVAgQJ6U1MVXOaj8PK2l7WJ3RER9xtqwdhxkhw/edit?usp=sharing"",""ปราจีนบุรี!M459"")"),9516.0)</f>
        <v>9516</v>
      </c>
      <c r="O564" s="406">
        <f t="shared" ref="O564:O568" si="123">+IF(L564&gt;0,N564*100/L564,0)</f>
        <v>7.406600249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IFERROR(__xludf.DUMMYFUNCTION("IMPORTRANGE(""https://docs.google.com/spreadsheets/d/1SX6NBoVAgQJ6U1MVXOaj8PK2l7WJ3RER9xtqwdhxkhw/edit?usp=sharing"",""ปราจีนบุรี!L460"")"),0.0)</f>
        <v>0</v>
      </c>
      <c r="M565" s="197"/>
      <c r="N565" s="203">
        <f>IFERROR(__xludf.DUMMYFUNCTION("IMPORTRANGE(""https://docs.google.com/spreadsheets/d/1SX6NBoVAgQJ6U1MVXOaj8PK2l7WJ3RER9xtqwdhxkhw/edit?usp=sharing"",""ปราจีนบุรี!M460"")"),0.0)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IFERROR(__xludf.DUMMYFUNCTION("IMPORTRANGE(""https://docs.google.com/spreadsheets/d/1SX6NBoVAgQJ6U1MVXOaj8PK2l7WJ3RER9xtqwdhxkhw/edit?usp=sharing"",""ปราจีนบุรี!L461"")"),128480.0)</f>
        <v>128480</v>
      </c>
      <c r="M566" s="198"/>
      <c r="N566" s="203">
        <f>IFERROR(__xludf.DUMMYFUNCTION("IMPORTRANGE(""https://docs.google.com/spreadsheets/d/1SX6NBoVAgQJ6U1MVXOaj8PK2l7WJ3RER9xtqwdhxkhw/edit?usp=sharing"",""ปราจีนบุรี!M461"")"),9516.0)</f>
        <v>9516</v>
      </c>
      <c r="O566" s="203">
        <f t="shared" si="123"/>
        <v>7.406600249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IFERROR(__xludf.DUMMYFUNCTION("IMPORTRANGE(""https://docs.google.com/spreadsheets/d/1SX6NBoVAgQJ6U1MVXOaj8PK2l7WJ3RER9xtqwdhxkhw/edit?usp=sharing"",""ปราจีนบุรี!L462"")"),0.0)</f>
        <v>0</v>
      </c>
      <c r="M567" s="203"/>
      <c r="N567" s="203">
        <f>IFERROR(__xludf.DUMMYFUNCTION("IMPORTRANGE(""https://docs.google.com/spreadsheets/d/1SX6NBoVAgQJ6U1MVXOaj8PK2l7WJ3RER9xtqwdhxkhw/edit?usp=sharing"",""ปราจีนบุรี!M462"")"),0.0)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IFERROR(__xludf.DUMMYFUNCTION("IMPORTRANGE(""https://docs.google.com/spreadsheets/d/1SX6NBoVAgQJ6U1MVXOaj8PK2l7WJ3RER9xtqwdhxkhw/edit?usp=sharing"",""ปราจีนบุรี!L463"")"),128480.0)</f>
        <v>128480</v>
      </c>
      <c r="M568" s="203"/>
      <c r="N568" s="203">
        <f>IFERROR(__xludf.DUMMYFUNCTION("IMPORTRANGE(""https://docs.google.com/spreadsheets/d/1SX6NBoVAgQJ6U1MVXOaj8PK2l7WJ3RER9xtqwdhxkhw/edit?usp=sharing"",""ปราจีนบุรี!M463"")"),9516.0)</f>
        <v>9516</v>
      </c>
      <c r="O568" s="203">
        <f t="shared" si="123"/>
        <v>7.406600249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IFERROR(__xludf.DUMMYFUNCTION("IMPORTRANGE(""https://docs.google.com/spreadsheets/d/1SX6NBoVAgQJ6U1MVXOaj8PK2l7WJ3RER9xtqwdhxkhw/edit?usp=sharing"",""ปราจีนบุรี!M464"")"),0.0)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IFERROR(__xludf.DUMMYFUNCTION("IMPORTRANGE(""https://docs.google.com/spreadsheets/d/1SX6NBoVAgQJ6U1MVXOaj8PK2l7WJ3RER9xtqwdhxkhw/edit?usp=sharing"",""ปราจีนบุรี!M465"")"),0.0)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IFERROR(__xludf.DUMMYFUNCTION("IMPORTRANGE(""https://docs.google.com/spreadsheets/d/1SX6NBoVAgQJ6U1MVXOaj8PK2l7WJ3RER9xtqwdhxkhw/edit?usp=sharing"",""ปราจีนบุรี!M466"")"),9516.0)</f>
        <v>9516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IFERROR(__xludf.DUMMYFUNCTION("IMPORTRANGE(""https://docs.google.com/spreadsheets/d/1SX6NBoVAgQJ6U1MVXOaj8PK2l7WJ3RER9xtqwdhxkhw/edit?usp=sharing"",""ปราจีนบุรี!M467"")"),0.0)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IFERROR(__xludf.DUMMYFUNCTION("IMPORTRANGE(""https://docs.google.com/spreadsheets/d/1SX6NBoVAgQJ6U1MVXOaj8PK2l7WJ3RER9xtqwdhxkhw/edit?usp=sharing"",""ปราจีนบุรี!I468"")"),500.0)</f>
        <v>500</v>
      </c>
      <c r="J573" s="453">
        <f>IFERROR(__xludf.DUMMYFUNCTION("IMPORTRANGE(""https://docs.google.com/spreadsheets/d/1SX6NBoVAgQJ6U1MVXOaj8PK2l7WJ3RER9xtqwdhxkhw/edit?usp=sharing"",""ปราจีนบุรี!J468"")"),195.0)</f>
        <v>195</v>
      </c>
      <c r="K573" s="236">
        <f>IF(I573&gt;0,J573*100/I573,0)</f>
        <v>39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IFERROR(__xludf.DUMMYFUNCTION("IMPORTRANGE(""https://docs.google.com/spreadsheets/d/1SX6NBoVAgQJ6U1MVXOaj8PK2l7WJ3RER9xtqwdhxkhw/edit?usp=sharing"",""ปราจีนบุรี!I470"")"),0.0)</f>
        <v>0</v>
      </c>
      <c r="J575" s="232">
        <f>IFERROR(__xludf.DUMMYFUNCTION("IMPORTRANGE(""https://docs.google.com/spreadsheets/d/1SX6NBoVAgQJ6U1MVXOaj8PK2l7WJ3RER9xtqwdhxkhw/edit?usp=sharing"",""ปราจีนบุรี!J470"")"),0.0)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IFERROR(__xludf.DUMMYFUNCTION("IMPORTRANGE(""https://docs.google.com/spreadsheets/d/1SX6NBoVAgQJ6U1MVXOaj8PK2l7WJ3RER9xtqwdhxkhw/edit?usp=sharing"",""ปราจีนบุรี!I471"")"),0.0)</f>
        <v>0</v>
      </c>
      <c r="J576" s="232">
        <f>IFERROR(__xludf.DUMMYFUNCTION("IMPORTRANGE(""https://docs.google.com/spreadsheets/d/1SX6NBoVAgQJ6U1MVXOaj8PK2l7WJ3RER9xtqwdhxkhw/edit?usp=sharing"",""ปราจีนบุรี!J471"")"),0.0)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IFERROR(__xludf.DUMMYFUNCTION("IMPORTRANGE(""https://docs.google.com/spreadsheets/d/1SX6NBoVAgQJ6U1MVXOaj8PK2l7WJ3RER9xtqwdhxkhw/edit?usp=sharing"",""ปราจีนบุรี!I472"")"),0.0)</f>
        <v>0</v>
      </c>
      <c r="J577" s="223">
        <f>IFERROR(__xludf.DUMMYFUNCTION("IMPORTRANGE(""https://docs.google.com/spreadsheets/d/1SX6NBoVAgQJ6U1MVXOaj8PK2l7WJ3RER9xtqwdhxkhw/edit?usp=sharing"",""ปราจีนบุรี!J472"")"),195.0)</f>
        <v>195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IFERROR(__xludf.DUMMYFUNCTION("IMPORTRANGE(""https://docs.google.com/spreadsheets/d/1SX6NBoVAgQJ6U1MVXOaj8PK2l7WJ3RER9xtqwdhxkhw/edit?usp=sharing"",""ปราจีนบุรี!I473"")"),0.0)</f>
        <v>0</v>
      </c>
      <c r="J578" s="232">
        <f>IFERROR(__xludf.DUMMYFUNCTION("IMPORTRANGE(""https://docs.google.com/spreadsheets/d/1SX6NBoVAgQJ6U1MVXOaj8PK2l7WJ3RER9xtqwdhxkhw/edit?usp=sharing"",""ปราจีนบุรี!J473"")"),0.0)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IFERROR(__xludf.DUMMYFUNCTION("IMPORTRANGE(""https://docs.google.com/spreadsheets/d/1SX6NBoVAgQJ6U1MVXOaj8PK2l7WJ3RER9xtqwdhxkhw/edit?usp=sharing"",""ปราจีนบุรี!I474"")"),0.0)</f>
        <v>0</v>
      </c>
      <c r="J579" s="232">
        <f>IFERROR(__xludf.DUMMYFUNCTION("IMPORTRANGE(""https://docs.google.com/spreadsheets/d/1SX6NBoVAgQJ6U1MVXOaj8PK2l7WJ3RER9xtqwdhxkhw/edit?usp=sharing"",""ปราจีนบุรี!J474"")"),0.0)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IFERROR(__xludf.DUMMYFUNCTION("IMPORTRANGE(""https://docs.google.com/spreadsheets/d/1SX6NBoVAgQJ6U1MVXOaj8PK2l7WJ3RER9xtqwdhxkhw/edit?usp=sharing"",""ปราจีนบุรี!I475"")"),2.0)</f>
        <v>2</v>
      </c>
      <c r="J580" s="404">
        <f>IFERROR(__xludf.DUMMYFUNCTION("IMPORTRANGE(""https://docs.google.com/spreadsheets/d/1SX6NBoVAgQJ6U1MVXOaj8PK2l7WJ3RER9xtqwdhxkhw/edit?usp=sharing"",""ปราจีนบุรี!J475"")"),3.0)</f>
        <v>3</v>
      </c>
      <c r="K580" s="405">
        <f>IF(I580&gt;0,J580*100/I580,0)</f>
        <v>150</v>
      </c>
      <c r="L580" s="406">
        <f>IFERROR(__xludf.DUMMYFUNCTION("IMPORTRANGE(""https://docs.google.com/spreadsheets/d/1SX6NBoVAgQJ6U1MVXOaj8PK2l7WJ3RER9xtqwdhxkhw/edit?usp=sharing"",""ปราจีนบุรี!L475"")"),106902.0)</f>
        <v>106902</v>
      </c>
      <c r="M580" s="406"/>
      <c r="N580" s="406">
        <f>IFERROR(__xludf.DUMMYFUNCTION("IMPORTRANGE(""https://docs.google.com/spreadsheets/d/1SX6NBoVAgQJ6U1MVXOaj8PK2l7WJ3RER9xtqwdhxkhw/edit?usp=sharing"",""ปราจีนบุรี!M475"")"),0.0)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IFERROR(__xludf.DUMMYFUNCTION("IMPORTRANGE(""https://docs.google.com/spreadsheets/d/1SX6NBoVAgQJ6U1MVXOaj8PK2l7WJ3RER9xtqwdhxkhw/edit?usp=sharing"",""ปราจีนบุรี!L476"")"),0.0)</f>
        <v>0</v>
      </c>
      <c r="M581" s="197"/>
      <c r="N581" s="203">
        <f>IFERROR(__xludf.DUMMYFUNCTION("IMPORTRANGE(""https://docs.google.com/spreadsheets/d/1SX6NBoVAgQJ6U1MVXOaj8PK2l7WJ3RER9xtqwdhxkhw/edit?usp=sharing"",""ปราจีนบุรี!M476"")"),0.0)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IFERROR(__xludf.DUMMYFUNCTION("IMPORTRANGE(""https://docs.google.com/spreadsheets/d/1SX6NBoVAgQJ6U1MVXOaj8PK2l7WJ3RER9xtqwdhxkhw/edit?usp=sharing"",""ปราจีนบุรี!L477"")"),106902.0)</f>
        <v>106902</v>
      </c>
      <c r="M582" s="198"/>
      <c r="N582" s="203">
        <f>IFERROR(__xludf.DUMMYFUNCTION("IMPORTRANGE(""https://docs.google.com/spreadsheets/d/1SX6NBoVAgQJ6U1MVXOaj8PK2l7WJ3RER9xtqwdhxkhw/edit?usp=sharing"",""ปราจีนบุรี!M477"")"),0.0)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IFERROR(__xludf.DUMMYFUNCTION("IMPORTRANGE(""https://docs.google.com/spreadsheets/d/1SX6NBoVAgQJ6U1MVXOaj8PK2l7WJ3RER9xtqwdhxkhw/edit?usp=sharing"",""ปราจีนบุรี!L478"")"),0.0)</f>
        <v>0</v>
      </c>
      <c r="M583" s="203"/>
      <c r="N583" s="203">
        <f>IFERROR(__xludf.DUMMYFUNCTION("IMPORTRANGE(""https://docs.google.com/spreadsheets/d/1SX6NBoVAgQJ6U1MVXOaj8PK2l7WJ3RER9xtqwdhxkhw/edit?usp=sharing"",""ปราจีนบุรี!M478"")"),0.0)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IFERROR(__xludf.DUMMYFUNCTION("IMPORTRANGE(""https://docs.google.com/spreadsheets/d/1SX6NBoVAgQJ6U1MVXOaj8PK2l7WJ3RER9xtqwdhxkhw/edit?usp=sharing"",""ปราจีนบุรี!L479"")"),106902.0)</f>
        <v>106902</v>
      </c>
      <c r="M584" s="203"/>
      <c r="N584" s="203">
        <f>IFERROR(__xludf.DUMMYFUNCTION("IMPORTRANGE(""https://docs.google.com/spreadsheets/d/1SX6NBoVAgQJ6U1MVXOaj8PK2l7WJ3RER9xtqwdhxkhw/edit?usp=sharing"",""ปราจีนบุรี!M479"")"),0.0)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IFERROR(__xludf.DUMMYFUNCTION("IMPORTRANGE(""https://docs.google.com/spreadsheets/d/1SX6NBoVAgQJ6U1MVXOaj8PK2l7WJ3RER9xtqwdhxkhw/edit?usp=sharing"",""ปราจีนบุรี!M480"")"),0.0)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IFERROR(__xludf.DUMMYFUNCTION("IMPORTRANGE(""https://docs.google.com/spreadsheets/d/1SX6NBoVAgQJ6U1MVXOaj8PK2l7WJ3RER9xtqwdhxkhw/edit?usp=sharing"",""ปราจีนบุรี!M481"")"),0.0)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IFERROR(__xludf.DUMMYFUNCTION("IMPORTRANGE(""https://docs.google.com/spreadsheets/d/1SX6NBoVAgQJ6U1MVXOaj8PK2l7WJ3RER9xtqwdhxkhw/edit?usp=sharing"",""ปราจีนบุรี!M482"")"),0.0)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IFERROR(__xludf.DUMMYFUNCTION("IMPORTRANGE(""https://docs.google.com/spreadsheets/d/1SX6NBoVAgQJ6U1MVXOaj8PK2l7WJ3RER9xtqwdhxkhw/edit?usp=sharing"",""ปราจีนบุรี!M483"")"),0.0)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IFERROR(__xludf.DUMMYFUNCTION("IMPORTRANGE(""https://docs.google.com/spreadsheets/d/1SX6NBoVAgQJ6U1MVXOaj8PK2l7WJ3RER9xtqwdhxkhw/edit?usp=sharing"",""ปราจีนบุรี!I484"")"),2.0)</f>
        <v>2</v>
      </c>
      <c r="J589" s="222">
        <f>IFERROR(__xludf.DUMMYFUNCTION("IMPORTRANGE(""https://docs.google.com/spreadsheets/d/1SX6NBoVAgQJ6U1MVXOaj8PK2l7WJ3RER9xtqwdhxkhw/edit?usp=sharing"",""ปราจีนบุรี!J484"")"),0.0)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IFERROR(__xludf.DUMMYFUNCTION("IMPORTRANGE(""https://docs.google.com/spreadsheets/d/1SX6NBoVAgQJ6U1MVXOaj8PK2l7WJ3RER9xtqwdhxkhw/edit?usp=sharing"",""ปราจีนบุรี!I485"")"),0.0)</f>
        <v>0</v>
      </c>
      <c r="J590" s="222">
        <f>IFERROR(__xludf.DUMMYFUNCTION("IMPORTRANGE(""https://docs.google.com/spreadsheets/d/1SX6NBoVAgQJ6U1MVXOaj8PK2l7WJ3RER9xtqwdhxkhw/edit?usp=sharing"",""ปราจีนบุรี!J485"")"),0.0)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IFERROR(__xludf.DUMMYFUNCTION("IMPORTRANGE(""https://docs.google.com/spreadsheets/d/1SX6NBoVAgQJ6U1MVXOaj8PK2l7WJ3RER9xtqwdhxkhw/edit?usp=sharing"",""ปราจีนบุรี!I486"")"),2.0)</f>
        <v>2</v>
      </c>
      <c r="J591" s="222">
        <f>IFERROR(__xludf.DUMMYFUNCTION("IMPORTRANGE(""https://docs.google.com/spreadsheets/d/1SX6NBoVAgQJ6U1MVXOaj8PK2l7WJ3RER9xtqwdhxkhw/edit?usp=sharing"",""ปราจีนบุรี!J486"")"),1.0)</f>
        <v>1</v>
      </c>
      <c r="K591" s="196">
        <f t="shared" si="126"/>
        <v>50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IFERROR(__xludf.DUMMYFUNCTION("IMPORTRANGE(""https://docs.google.com/spreadsheets/d/1SX6NBoVAgQJ6U1MVXOaj8PK2l7WJ3RER9xtqwdhxkhw/edit?usp=sharing"",""ปราจีนบุรี!I487"")"),0.0)</f>
        <v>0</v>
      </c>
      <c r="J592" s="222">
        <f>IFERROR(__xludf.DUMMYFUNCTION("IMPORTRANGE(""https://docs.google.com/spreadsheets/d/1SX6NBoVAgQJ6U1MVXOaj8PK2l7WJ3RER9xtqwdhxkhw/edit?usp=sharing"",""ปราจีนบุรี!J487"")"),7.0)</f>
        <v>7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IFERROR(__xludf.DUMMYFUNCTION("IMPORTRANGE(""https://docs.google.com/spreadsheets/d/1SX6NBoVAgQJ6U1MVXOaj8PK2l7WJ3RER9xtqwdhxkhw/edit?usp=sharing"",""ปราจีนบุรี!I488"")"),2.0)</f>
        <v>2</v>
      </c>
      <c r="J593" s="222">
        <f>IFERROR(__xludf.DUMMYFUNCTION("IMPORTRANGE(""https://docs.google.com/spreadsheets/d/1SX6NBoVAgQJ6U1MVXOaj8PK2l7WJ3RER9xtqwdhxkhw/edit?usp=sharing"",""ปราจีนบุรี!J488"")"),0.0)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IFERROR(__xludf.DUMMYFUNCTION("IMPORTRANGE(""https://docs.google.com/spreadsheets/d/1SX6NBoVAgQJ6U1MVXOaj8PK2l7WJ3RER9xtqwdhxkhw/edit?usp=sharing"",""ปราจีนบุรี!I489"")"),0.0)</f>
        <v>0</v>
      </c>
      <c r="J594" s="222">
        <f>IFERROR(__xludf.DUMMYFUNCTION("IMPORTRANGE(""https://docs.google.com/spreadsheets/d/1SX6NBoVAgQJ6U1MVXOaj8PK2l7WJ3RER9xtqwdhxkhw/edit?usp=sharing"",""ปราจีนบุรี!J489"")"),0.0)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IFERROR(__xludf.DUMMYFUNCTION("IMPORTRANGE(""https://docs.google.com/spreadsheets/d/1SX6NBoVAgQJ6U1MVXOaj8PK2l7WJ3RER9xtqwdhxkhw/edit?usp=sharing"",""ปราจีนบุรี!I490"")"),2.0)</f>
        <v>2</v>
      </c>
      <c r="J595" s="222">
        <f>IFERROR(__xludf.DUMMYFUNCTION("IMPORTRANGE(""https://docs.google.com/spreadsheets/d/1SX6NBoVAgQJ6U1MVXOaj8PK2l7WJ3RER9xtqwdhxkhw/edit?usp=sharing"",""ปราจีนบุรี!J490"")"),3.0)</f>
        <v>3</v>
      </c>
      <c r="K595" s="196">
        <f t="shared" si="126"/>
        <v>150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IFERROR(__xludf.DUMMYFUNCTION("IMPORTRANGE(""https://docs.google.com/spreadsheets/d/1SX6NBoVAgQJ6U1MVXOaj8PK2l7WJ3RER9xtqwdhxkhw/edit?usp=sharing"",""ปราจีนบุรี!I491"")"),0.0)</f>
        <v>0</v>
      </c>
      <c r="J596" s="275">
        <f>IFERROR(__xludf.DUMMYFUNCTION("IMPORTRANGE(""https://docs.google.com/spreadsheets/d/1SX6NBoVAgQJ6U1MVXOaj8PK2l7WJ3RER9xtqwdhxkhw/edit?usp=sharing"",""ปราจีนบุรี!J491"")"),8.68)</f>
        <v>8.68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IFERROR(__xludf.DUMMYFUNCTION("IMPORTRANGE(""https://docs.google.com/spreadsheets/d/1SX6NBoVAgQJ6U1MVXOaj8PK2l7WJ3RER9xtqwdhxkhw/edit?usp=sharing"",""ปราจีนบุรี!I492"")"),50.0)</f>
        <v>50</v>
      </c>
      <c r="J597" s="520">
        <f>IFERROR(__xludf.DUMMYFUNCTION("IMPORTRANGE(""https://docs.google.com/spreadsheets/d/1SX6NBoVAgQJ6U1MVXOaj8PK2l7WJ3RER9xtqwdhxkhw/edit?usp=sharing"",""ปราจีนบุรี!J492"")"),0.0)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IFERROR(__xludf.DUMMYFUNCTION("IMPORTRANGE(""https://docs.google.com/spreadsheets/d/1SX6NBoVAgQJ6U1MVXOaj8PK2l7WJ3RER9xtqwdhxkhw/edit?usp=sharing"",""ปราจีนบุรี!L492"")"),4550.0)</f>
        <v>4550</v>
      </c>
      <c r="M597" s="445"/>
      <c r="N597" s="445">
        <f>IFERROR(__xludf.DUMMYFUNCTION("IMPORTRANGE(""https://docs.google.com/spreadsheets/d/1SX6NBoVAgQJ6U1MVXOaj8PK2l7WJ3RER9xtqwdhxkhw/edit?usp=sharing"",""ปราจีนบุรี!M492"")"),0.0)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IFERROR(__xludf.DUMMYFUNCTION("IMPORTRANGE(""https://docs.google.com/spreadsheets/d/1SX6NBoVAgQJ6U1MVXOaj8PK2l7WJ3RER9xtqwdhxkhw/edit?usp=sharing"",""ปราจีนบุรี!L493"")"),0.0)</f>
        <v>0</v>
      </c>
      <c r="M598" s="197"/>
      <c r="N598" s="203">
        <f>IFERROR(__xludf.DUMMYFUNCTION("IMPORTRANGE(""https://docs.google.com/spreadsheets/d/1SX6NBoVAgQJ6U1MVXOaj8PK2l7WJ3RER9xtqwdhxkhw/edit?usp=sharing"",""ปราจีนบุรี!M493"")"),0.0)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IFERROR(__xludf.DUMMYFUNCTION("IMPORTRANGE(""https://docs.google.com/spreadsheets/d/1SX6NBoVAgQJ6U1MVXOaj8PK2l7WJ3RER9xtqwdhxkhw/edit?usp=sharing"",""ปราจีนบุรี!L494"")"),4550.0)</f>
        <v>4550</v>
      </c>
      <c r="M599" s="198"/>
      <c r="N599" s="203">
        <f>IFERROR(__xludf.DUMMYFUNCTION("IMPORTRANGE(""https://docs.google.com/spreadsheets/d/1SX6NBoVAgQJ6U1MVXOaj8PK2l7WJ3RER9xtqwdhxkhw/edit?usp=sharing"",""ปราจีนบุรี!M494"")"),0.0)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IFERROR(__xludf.DUMMYFUNCTION("IMPORTRANGE(""https://docs.google.com/spreadsheets/d/1SX6NBoVAgQJ6U1MVXOaj8PK2l7WJ3RER9xtqwdhxkhw/edit?usp=sharing"",""ปราจีนบุรี!L495"")"),0.0)</f>
        <v>0</v>
      </c>
      <c r="M600" s="203"/>
      <c r="N600" s="203">
        <f>IFERROR(__xludf.DUMMYFUNCTION("IMPORTRANGE(""https://docs.google.com/spreadsheets/d/1SX6NBoVAgQJ6U1MVXOaj8PK2l7WJ3RER9xtqwdhxkhw/edit?usp=sharing"",""ปราจีนบุรี!M495"")"),0.0)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IFERROR(__xludf.DUMMYFUNCTION("IMPORTRANGE(""https://docs.google.com/spreadsheets/d/1SX6NBoVAgQJ6U1MVXOaj8PK2l7WJ3RER9xtqwdhxkhw/edit?usp=sharing"",""ปราจีนบุรี!L496"")"),4550.0)</f>
        <v>4550</v>
      </c>
      <c r="M601" s="203"/>
      <c r="N601" s="203">
        <f>IFERROR(__xludf.DUMMYFUNCTION("IMPORTRANGE(""https://docs.google.com/spreadsheets/d/1SX6NBoVAgQJ6U1MVXOaj8PK2l7WJ3RER9xtqwdhxkhw/edit?usp=sharing"",""ปราจีนบุรี!M496"")"),0.0)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IFERROR(__xludf.DUMMYFUNCTION("IMPORTRANGE(""https://docs.google.com/spreadsheets/d/1SX6NBoVAgQJ6U1MVXOaj8PK2l7WJ3RER9xtqwdhxkhw/edit?usp=sharing"",""ปราจีนบุรี!M497"")"),0.0)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IFERROR(__xludf.DUMMYFUNCTION("IMPORTRANGE(""https://docs.google.com/spreadsheets/d/1SX6NBoVAgQJ6U1MVXOaj8PK2l7WJ3RER9xtqwdhxkhw/edit?usp=sharing"",""ปราจีนบุรี!M498"")"),0.0)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IFERROR(__xludf.DUMMYFUNCTION("IMPORTRANGE(""https://docs.google.com/spreadsheets/d/1SX6NBoVAgQJ6U1MVXOaj8PK2l7WJ3RER9xtqwdhxkhw/edit?usp=sharing"",""ปราจีนบุรี!M499"")"),0.0)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IFERROR(__xludf.DUMMYFUNCTION("IMPORTRANGE(""https://docs.google.com/spreadsheets/d/1SX6NBoVAgQJ6U1MVXOaj8PK2l7WJ3RER9xtqwdhxkhw/edit?usp=sharing"",""ปราจีนบุรี!M500"")"),0.0)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IFERROR(__xludf.DUMMYFUNCTION("IMPORTRANGE(""https://docs.google.com/spreadsheets/d/1SX6NBoVAgQJ6U1MVXOaj8PK2l7WJ3RER9xtqwdhxkhw/edit?usp=sharing"",""ปราจีนบุรี!J502"")"),1.0)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IFERROR(__xludf.DUMMYFUNCTION("IMPORTRANGE(""https://docs.google.com/spreadsheets/d/1SX6NBoVAgQJ6U1MVXOaj8PK2l7WJ3RER9xtqwdhxkhw/edit?usp=sharing"",""ปราจีนบุรี!J503"")"),0.0)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IFERROR(__xludf.DUMMYFUNCTION("IMPORTRANGE(""https://docs.google.com/spreadsheets/d/1SX6NBoVAgQJ6U1MVXOaj8PK2l7WJ3RER9xtqwdhxkhw/edit?usp=sharing"",""ปราจีนบุรี!J166"")"),0.0)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IFERROR(__xludf.DUMMYFUNCTION("IMPORTRANGE(""https://docs.google.com/spreadsheets/d/1SX6NBoVAgQJ6U1MVXOaj8PK2l7WJ3RER9xtqwdhxkhw/edit?usp=sharing"",""ปราจีนบุรี!J166"")"),0.0)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IFERROR(__xludf.DUMMYFUNCTION("IMPORTRANGE(""https://docs.google.com/spreadsheets/d/1SX6NBoVAgQJ6U1MVXOaj8PK2l7WJ3RER9xtqwdhxkhw/edit?usp=sharing"",""ปราจีนบุรี!I506"")"),50.0)</f>
        <v>50</v>
      </c>
      <c r="J611" s="195">
        <f>IFERROR(__xludf.DUMMYFUNCTION("IMPORTRANGE(""https://docs.google.com/spreadsheets/d/1SX6NBoVAgQJ6U1MVXOaj8PK2l7WJ3RER9xtqwdhxkhw/edit?usp=sharing"",""ปราจีนบุรี!J506"")"),0.0)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IFERROR(__xludf.DUMMYFUNCTION("IMPORTRANGE(""https://docs.google.com/spreadsheets/d/1SX6NBoVAgQJ6U1MVXOaj8PK2l7WJ3RER9xtqwdhxkhw/edit?usp=sharing"",""ปราจีนบุรี!I507"")"),0.0)</f>
        <v>0</v>
      </c>
      <c r="J612" s="232">
        <f>IFERROR(__xludf.DUMMYFUNCTION("IMPORTRANGE(""https://docs.google.com/spreadsheets/d/1SX6NBoVAgQJ6U1MVXOaj8PK2l7WJ3RER9xtqwdhxkhw/edit?usp=sharing"",""ปราจีนบุรี!J507"")"),0.0)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IFERROR(__xludf.DUMMYFUNCTION("IMPORTRANGE(""https://docs.google.com/spreadsheets/d/1SX6NBoVAgQJ6U1MVXOaj8PK2l7WJ3RER9xtqwdhxkhw/edit?usp=sharing"",""ปราจีนบุรี!I508"")"),0.0)</f>
        <v>0</v>
      </c>
      <c r="J613" s="232">
        <f>IFERROR(__xludf.DUMMYFUNCTION("IMPORTRANGE(""https://docs.google.com/spreadsheets/d/1SX6NBoVAgQJ6U1MVXOaj8PK2l7WJ3RER9xtqwdhxkhw/edit?usp=sharing"",""ปราจีนบุรี!J508"")"),0.0)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IFERROR(__xludf.DUMMYFUNCTION("IMPORTRANGE(""https://docs.google.com/spreadsheets/d/1SX6NBoVAgQJ6U1MVXOaj8PK2l7WJ3RER9xtqwdhxkhw/edit?usp=sharing"",""ปราจีนบุรี!I509"")"),0.0)</f>
        <v>0</v>
      </c>
      <c r="J614" s="232">
        <f>IFERROR(__xludf.DUMMYFUNCTION("IMPORTRANGE(""https://docs.google.com/spreadsheets/d/1SX6NBoVAgQJ6U1MVXOaj8PK2l7WJ3RER9xtqwdhxkhw/edit?usp=sharing"",""ปราจีนบุรี!J509"")"),0.0)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IFERROR(__xludf.DUMMYFUNCTION("IMPORTRANGE(""https://docs.google.com/spreadsheets/d/1SX6NBoVAgQJ6U1MVXOaj8PK2l7WJ3RER9xtqwdhxkhw/edit?usp=sharing"",""ปราจีนบุรี!I510"")"),0.0)</f>
        <v>0</v>
      </c>
      <c r="J615" s="232">
        <f>IFERROR(__xludf.DUMMYFUNCTION("IMPORTRANGE(""https://docs.google.com/spreadsheets/d/1SX6NBoVAgQJ6U1MVXOaj8PK2l7WJ3RER9xtqwdhxkhw/edit?usp=sharing"",""ปราจีนบุรี!J510"")"),0.0)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IFERROR(__xludf.DUMMYFUNCTION("IMPORTRANGE(""https://docs.google.com/spreadsheets/d/1SX6NBoVAgQJ6U1MVXOaj8PK2l7WJ3RER9xtqwdhxkhw/edit?usp=sharing"",""ปราจีนบุรี!I511"")"),0.0)</f>
        <v>0</v>
      </c>
      <c r="J616" s="232">
        <f>IFERROR(__xludf.DUMMYFUNCTION("IMPORTRANGE(""https://docs.google.com/spreadsheets/d/1SX6NBoVAgQJ6U1MVXOaj8PK2l7WJ3RER9xtqwdhxkhw/edit?usp=sharing"",""ปราจีนบุรี!J511"")"),0.0)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IFERROR(__xludf.DUMMYFUNCTION("IMPORTRANGE(""https://docs.google.com/spreadsheets/d/1SX6NBoVAgQJ6U1MVXOaj8PK2l7WJ3RER9xtqwdhxkhw/edit?usp=sharing"",""ปราจีนบุรี!I512"")"),0.0)</f>
        <v>0</v>
      </c>
      <c r="J617" s="222">
        <f>IFERROR(__xludf.DUMMYFUNCTION("IMPORTRANGE(""https://docs.google.com/spreadsheets/d/1SX6NBoVAgQJ6U1MVXOaj8PK2l7WJ3RER9xtqwdhxkhw/edit?usp=sharing"",""ปราจีนบุรี!J512"")"),0.0)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IFERROR(__xludf.DUMMYFUNCTION("IMPORTRANGE(""https://docs.google.com/spreadsheets/d/1SX6NBoVAgQJ6U1MVXOaj8PK2l7WJ3RER9xtqwdhxkhw/edit?usp=sharing"",""ปราจีนบุรี!I513"")"),0.0)</f>
        <v>0</v>
      </c>
      <c r="J618" s="223">
        <f>IFERROR(__xludf.DUMMYFUNCTION("IMPORTRANGE(""https://docs.google.com/spreadsheets/d/1SX6NBoVAgQJ6U1MVXOaj8PK2l7WJ3RER9xtqwdhxkhw/edit?usp=sharing"",""ปราจีนบุรี!J513"")"),0.0)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IFERROR(__xludf.DUMMYFUNCTION("IMPORTRANGE(""https://docs.google.com/spreadsheets/d/1SX6NBoVAgQJ6U1MVXOaj8PK2l7WJ3RER9xtqwdhxkhw/edit?usp=sharing"",""ปราจีนบุรี!I514"")"),0.0)</f>
        <v>0</v>
      </c>
      <c r="J619" s="223">
        <f>IFERROR(__xludf.DUMMYFUNCTION("IMPORTRANGE(""https://docs.google.com/spreadsheets/d/1SX6NBoVAgQJ6U1MVXOaj8PK2l7WJ3RER9xtqwdhxkhw/edit?usp=sharing"",""ปราจีนบุรี!J514"")"),0.0)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IFERROR(__xludf.DUMMYFUNCTION("IMPORTRANGE(""https://docs.google.com/spreadsheets/d/1SX6NBoVAgQJ6U1MVXOaj8PK2l7WJ3RER9xtqwdhxkhw/edit?usp=sharing"",""ปราจีนบุรี!I515"")"),0.0)</f>
        <v>0</v>
      </c>
      <c r="J620" s="237">
        <f>IFERROR(__xludf.DUMMYFUNCTION("IMPORTRANGE(""https://docs.google.com/spreadsheets/d/1SX6NBoVAgQJ6U1MVXOaj8PK2l7WJ3RER9xtqwdhxkhw/edit?usp=sharing"",""ปราจีนบุรี!J515"")"),0.0)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IFERROR(__xludf.DUMMYFUNCTION("IMPORTRANGE(""https://docs.google.com/spreadsheets/d/1SX6NBoVAgQJ6U1MVXOaj8PK2l7WJ3RER9xtqwdhxkhw/edit?usp=sharing"",""ปราจีนบุรี!I516"")"),0.0)</f>
        <v>0</v>
      </c>
      <c r="J621" s="237">
        <f>IFERROR(__xludf.DUMMYFUNCTION("IMPORTRANGE(""https://docs.google.com/spreadsheets/d/1SX6NBoVAgQJ6U1MVXOaj8PK2l7WJ3RER9xtqwdhxkhw/edit?usp=sharing"",""ปราจีนบุรี!J516"")"),0.0)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IFERROR(__xludf.DUMMYFUNCTION("IMPORTRANGE(""https://docs.google.com/spreadsheets/d/1SX6NBoVAgQJ6U1MVXOaj8PK2l7WJ3RER9xtqwdhxkhw/edit?usp=sharing"",""ปราจีนบุรี!I517"")"),0.0)</f>
        <v>0</v>
      </c>
      <c r="J622" s="223">
        <f>IFERROR(__xludf.DUMMYFUNCTION("IMPORTRANGE(""https://docs.google.com/spreadsheets/d/1SX6NBoVAgQJ6U1MVXOaj8PK2l7WJ3RER9xtqwdhxkhw/edit?usp=sharing"",""ปราจีนบุรี!J517"")"),0.0)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IFERROR(__xludf.DUMMYFUNCTION("IMPORTRANGE(""https://docs.google.com/spreadsheets/d/1SX6NBoVAgQJ6U1MVXOaj8PK2l7WJ3RER9xtqwdhxkhw/edit?usp=sharing"",""ปราจีนบุรี!I518"")"),0.0)</f>
        <v>0</v>
      </c>
      <c r="J623" s="223">
        <f>IFERROR(__xludf.DUMMYFUNCTION("IMPORTRANGE(""https://docs.google.com/spreadsheets/d/1SX6NBoVAgQJ6U1MVXOaj8PK2l7WJ3RER9xtqwdhxkhw/edit?usp=sharing"",""ปราจีนบุรี!J518"")"),0.0)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IFERROR(__xludf.DUMMYFUNCTION("IMPORTRANGE(""https://docs.google.com/spreadsheets/d/1SX6NBoVAgQJ6U1MVXOaj8PK2l7WJ3RER9xtqwdhxkhw/edit?usp=sharing"",""ปราจีนบุรี!I519"")"),0.0)</f>
        <v>0</v>
      </c>
      <c r="J624" s="222">
        <f>IFERROR(__xludf.DUMMYFUNCTION("IMPORTRANGE(""https://docs.google.com/spreadsheets/d/1SX6NBoVAgQJ6U1MVXOaj8PK2l7WJ3RER9xtqwdhxkhw/edit?usp=sharing"",""ปราจีนบุรี!J519"")"),0.0)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IFERROR(__xludf.DUMMYFUNCTION("IMPORTRANGE(""https://docs.google.com/spreadsheets/d/1SX6NBoVAgQJ6U1MVXOaj8PK2l7WJ3RER9xtqwdhxkhw/edit?usp=sharing"",""ปราจีนบุรี!I520"")"),0.0)</f>
        <v>0</v>
      </c>
      <c r="J625" s="223">
        <f>IFERROR(__xludf.DUMMYFUNCTION("IMPORTRANGE(""https://docs.google.com/spreadsheets/d/1SX6NBoVAgQJ6U1MVXOaj8PK2l7WJ3RER9xtqwdhxkhw/edit?usp=sharing"",""ปราจีนบุรี!J520"")"),0.0)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IFERROR(__xludf.DUMMYFUNCTION("IMPORTRANGE(""https://docs.google.com/spreadsheets/d/1SX6NBoVAgQJ6U1MVXOaj8PK2l7WJ3RER9xtqwdhxkhw/edit?usp=sharing"",""ปราจีนบุรี!I521"")"),0.0)</f>
        <v>0</v>
      </c>
      <c r="J626" s="223">
        <f>IFERROR(__xludf.DUMMYFUNCTION("IMPORTRANGE(""https://docs.google.com/spreadsheets/d/1SX6NBoVAgQJ6U1MVXOaj8PK2l7WJ3RER9xtqwdhxkhw/edit?usp=sharing"",""ปราจีนบุรี!J521"")"),0.0)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IFERROR(__xludf.DUMMYFUNCTION("IMPORTRANGE(""https://docs.google.com/spreadsheets/d/1SX6NBoVAgQJ6U1MVXOaj8PK2l7WJ3RER9xtqwdhxkhw/edit?usp=sharing"",""ปราจีนบุรี!I523"")"),9220935.21)</f>
        <v>9220935.21</v>
      </c>
      <c r="J628" s="374">
        <f>IFERROR(__xludf.DUMMYFUNCTION("IMPORTRANGE(""https://docs.google.com/spreadsheets/d/1SX6NBoVAgQJ6U1MVXOaj8PK2l7WJ3RER9xtqwdhxkhw/edit?usp=sharing"",""ปราจีนบุรี!J523"")"),545000.0)</f>
        <v>545000</v>
      </c>
      <c r="K628" s="375">
        <f t="shared" ref="K628:K635" si="130">IF(I628&gt;0,J628*100/I628,0)</f>
        <v>5.910463392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IFERROR(__xludf.DUMMYFUNCTION("IMPORTRANGE(""https://docs.google.com/spreadsheets/d/1SX6NBoVAgQJ6U1MVXOaj8PK2l7WJ3RER9xtqwdhxkhw/edit?usp=sharing"",""ปราจีนบุรี!I524"")"),216.0)</f>
        <v>216</v>
      </c>
      <c r="J629" s="374">
        <f>IFERROR(__xludf.DUMMYFUNCTION("IMPORTRANGE(""https://docs.google.com/spreadsheets/d/1SX6NBoVAgQJ6U1MVXOaj8PK2l7WJ3RER9xtqwdhxkhw/edit?usp=sharing"",""ปราจีนบุรี!J524"")"),15.0)</f>
        <v>15</v>
      </c>
      <c r="K629" s="375">
        <f t="shared" si="130"/>
        <v>6.944444444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IFERROR(__xludf.DUMMYFUNCTION("IMPORTRANGE(""https://docs.google.com/spreadsheets/d/1SX6NBoVAgQJ6U1MVXOaj8PK2l7WJ3RER9xtqwdhxkhw/edit?usp=sharing"",""ปราจีนบุรี!I525"")"),6735945.67)</f>
        <v>6735945.67</v>
      </c>
      <c r="J630" s="374">
        <f>IFERROR(__xludf.DUMMYFUNCTION("IMPORTRANGE(""https://docs.google.com/spreadsheets/d/1SX6NBoVAgQJ6U1MVXOaj8PK2l7WJ3RER9xtqwdhxkhw/edit?usp=sharing"",""ปราจีนบุรี!J525"")"),142082.36)</f>
        <v>142082.36</v>
      </c>
      <c r="K630" s="375">
        <f t="shared" si="130"/>
        <v>2.109315707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IFERROR(__xludf.DUMMYFUNCTION("IMPORTRANGE(""https://docs.google.com/spreadsheets/d/1SX6NBoVAgQJ6U1MVXOaj8PK2l7WJ3RER9xtqwdhxkhw/edit?usp=sharing"",""ปราจีนบุรี!I526"")"),154.0)</f>
        <v>154</v>
      </c>
      <c r="J631" s="374">
        <f>IFERROR(__xludf.DUMMYFUNCTION("IMPORTRANGE(""https://docs.google.com/spreadsheets/d/1SX6NBoVAgQJ6U1MVXOaj8PK2l7WJ3RER9xtqwdhxkhw/edit?usp=sharing"",""ปราจีนบุรี!J526"")"),14.0)</f>
        <v>14</v>
      </c>
      <c r="K631" s="375">
        <f t="shared" si="130"/>
        <v>9.090909091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IFERROR(__xludf.DUMMYFUNCTION("IMPORTRANGE(""https://docs.google.com/spreadsheets/d/1SX6NBoVAgQJ6U1MVXOaj8PK2l7WJ3RER9xtqwdhxkhw/edit?usp=sharing"",""ปราจีนบุรี!I527"")"),283548.59)</f>
        <v>283548.59</v>
      </c>
      <c r="J632" s="374">
        <f>IFERROR(__xludf.DUMMYFUNCTION("IMPORTRANGE(""https://docs.google.com/spreadsheets/d/1SX6NBoVAgQJ6U1MVXOaj8PK2l7WJ3RER9xtqwdhxkhw/edit?usp=sharing"",""ปราจีนบุรี!J527"")"),84495.71)</f>
        <v>84495.71</v>
      </c>
      <c r="K632" s="375">
        <f t="shared" si="130"/>
        <v>29.79937583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IFERROR(__xludf.DUMMYFUNCTION("IMPORTRANGE(""https://docs.google.com/spreadsheets/d/1SX6NBoVAgQJ6U1MVXOaj8PK2l7WJ3RER9xtqwdhxkhw/edit?usp=sharing"",""ปราจีนบุรี!I528"")"),136.0)</f>
        <v>136</v>
      </c>
      <c r="J633" s="374">
        <f>IFERROR(__xludf.DUMMYFUNCTION("IMPORTRANGE(""https://docs.google.com/spreadsheets/d/1SX6NBoVAgQJ6U1MVXOaj8PK2l7WJ3RER9xtqwdhxkhw/edit?usp=sharing"",""ปราจีนบุรี!J528"")"),12.0)</f>
        <v>12</v>
      </c>
      <c r="K633" s="375">
        <f t="shared" si="130"/>
        <v>8.823529412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IFERROR(__xludf.DUMMYFUNCTION("IMPORTRANGE(""https://docs.google.com/spreadsheets/d/1SX6NBoVAgQJ6U1MVXOaj8PK2l7WJ3RER9xtqwdhxkhw/edit?usp=sharing"",""ปราจีนบุรี!I529"")"),4500000.0)</f>
        <v>4500000</v>
      </c>
      <c r="J634" s="374">
        <f>IFERROR(__xludf.DUMMYFUNCTION("IMPORTRANGE(""https://docs.google.com/spreadsheets/d/1SX6NBoVAgQJ6U1MVXOaj8PK2l7WJ3RER9xtqwdhxkhw/edit?usp=sharing"",""ปราจีนบุรี!J529"")"),610000.0)</f>
        <v>610000</v>
      </c>
      <c r="K634" s="375">
        <f t="shared" si="130"/>
        <v>13.55555556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IFERROR(__xludf.DUMMYFUNCTION("IMPORTRANGE(""https://docs.google.com/spreadsheets/d/1SX6NBoVAgQJ6U1MVXOaj8PK2l7WJ3RER9xtqwdhxkhw/edit?usp=sharing"",""ปราจีนบุรี!I530"")"),90.0)</f>
        <v>90</v>
      </c>
      <c r="J635" s="544">
        <f>IFERROR(__xludf.DUMMYFUNCTION("IMPORTRANGE(""https://docs.google.com/spreadsheets/d/1SX6NBoVAgQJ6U1MVXOaj8PK2l7WJ3RER9xtqwdhxkhw/edit?usp=sharing"",""ปราจีนบุรี!J530"")"),15.0)</f>
        <v>15</v>
      </c>
      <c r="K635" s="519">
        <f t="shared" si="130"/>
        <v>16.66666667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261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3047482</v>
      </c>
      <c r="M8" s="41">
        <f t="shared" si="1"/>
        <v>1358735</v>
      </c>
      <c r="N8" s="41">
        <f t="shared" si="1"/>
        <v>835935</v>
      </c>
      <c r="O8" s="40">
        <f t="shared" ref="O8:O16" si="3">IF(L8&gt;0,N8*100/L8,0)</f>
        <v>27.4303507</v>
      </c>
      <c r="P8" s="40">
        <f t="shared" ref="P8:P16" si="4">IF(M8&gt;0,N8*100/M8,0)</f>
        <v>61.52303429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3047482</v>
      </c>
      <c r="M10" s="48">
        <f t="shared" si="5"/>
        <v>1358735</v>
      </c>
      <c r="N10" s="48">
        <f t="shared" si="5"/>
        <v>835935</v>
      </c>
      <c r="O10" s="47">
        <f t="shared" si="3"/>
        <v>27.4303507</v>
      </c>
      <c r="P10" s="47">
        <f t="shared" si="4"/>
        <v>61.52303429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2994282</v>
      </c>
      <c r="M12" s="58">
        <f t="shared" si="7"/>
        <v>1358735</v>
      </c>
      <c r="N12" s="58">
        <f t="shared" si="7"/>
        <v>782735</v>
      </c>
      <c r="O12" s="58">
        <f t="shared" si="3"/>
        <v>26.1409914</v>
      </c>
      <c r="P12" s="58">
        <f t="shared" si="4"/>
        <v>57.60762768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1551000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1443282</v>
      </c>
      <c r="M14" s="58">
        <f t="shared" si="9"/>
        <v>0</v>
      </c>
      <c r="N14" s="58">
        <f t="shared" si="9"/>
        <v>19304</v>
      </c>
      <c r="O14" s="61">
        <f t="shared" si="3"/>
        <v>1.337507154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53200</v>
      </c>
      <c r="M16" s="58">
        <f t="shared" si="11"/>
        <v>0</v>
      </c>
      <c r="N16" s="58">
        <f t="shared" si="11"/>
        <v>53200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2451635</v>
      </c>
      <c r="M18" s="41">
        <f t="shared" si="12"/>
        <v>1358735</v>
      </c>
      <c r="N18" s="41">
        <f t="shared" si="12"/>
        <v>816631</v>
      </c>
      <c r="O18" s="40">
        <f t="shared" ref="O18:O20" si="14">IF(L18&gt;0,N18*100/L18,0)</f>
        <v>33.30964846</v>
      </c>
      <c r="P18" s="40">
        <f t="shared" ref="P18:P26" si="15">IF(M18&gt;0,N18*100/M18,0)</f>
        <v>60.10230104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2451635</v>
      </c>
      <c r="M20" s="48">
        <f t="shared" si="16"/>
        <v>1358735</v>
      </c>
      <c r="N20" s="48">
        <f t="shared" si="16"/>
        <v>816631</v>
      </c>
      <c r="O20" s="47">
        <f t="shared" si="14"/>
        <v>33.30964846</v>
      </c>
      <c r="P20" s="47">
        <f t="shared" si="15"/>
        <v>60.10230104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2398435</v>
      </c>
      <c r="M22" s="62">
        <f t="shared" si="18"/>
        <v>1358735</v>
      </c>
      <c r="N22" s="61">
        <f t="shared" si="18"/>
        <v>763431</v>
      </c>
      <c r="O22" s="61">
        <f t="shared" si="19"/>
        <v>31.83038106</v>
      </c>
      <c r="P22" s="61">
        <f t="shared" si="15"/>
        <v>56.18689443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1551000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847435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53200</v>
      </c>
      <c r="M26" s="70">
        <f t="shared" si="23"/>
        <v>0</v>
      </c>
      <c r="N26" s="70">
        <f t="shared" si="23"/>
        <v>53200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595847</v>
      </c>
      <c r="M28" s="41">
        <f t="shared" si="24"/>
        <v>0</v>
      </c>
      <c r="N28" s="41">
        <f t="shared" si="24"/>
        <v>19304</v>
      </c>
      <c r="O28" s="40">
        <f t="shared" ref="O28:O30" si="26">IF(L28&gt;0,N28*100/L28,0)</f>
        <v>3.239757857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595847</v>
      </c>
      <c r="M30" s="48">
        <f t="shared" si="28"/>
        <v>0</v>
      </c>
      <c r="N30" s="48">
        <f t="shared" si="28"/>
        <v>19304</v>
      </c>
      <c r="O30" s="47">
        <f t="shared" si="26"/>
        <v>3.239757857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595847</v>
      </c>
      <c r="M32" s="61">
        <f t="shared" si="30"/>
        <v>0</v>
      </c>
      <c r="N32" s="61">
        <f t="shared" si="30"/>
        <v>19304</v>
      </c>
      <c r="O32" s="61">
        <f t="shared" si="31"/>
        <v>3.239757857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595847</v>
      </c>
      <c r="M34" s="61">
        <f t="shared" si="33"/>
        <v>0</v>
      </c>
      <c r="N34" s="61">
        <f t="shared" si="33"/>
        <v>19304</v>
      </c>
      <c r="O34" s="61">
        <f t="shared" si="31"/>
        <v>3.239757857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2451635</v>
      </c>
      <c r="M37" s="75">
        <f t="shared" si="34"/>
        <v>1358735</v>
      </c>
      <c r="N37" s="75">
        <f t="shared" si="34"/>
        <v>816631</v>
      </c>
      <c r="O37" s="76">
        <f t="shared" si="31"/>
        <v>33.30964846</v>
      </c>
      <c r="P37" s="76">
        <f t="shared" si="27"/>
        <v>60.10230104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353800</v>
      </c>
      <c r="M41" s="102">
        <f t="shared" si="35"/>
        <v>176900</v>
      </c>
      <c r="N41" s="102">
        <f t="shared" si="35"/>
        <v>114823</v>
      </c>
      <c r="O41" s="101">
        <f t="shared" ref="O41:O43" si="37">IF(L41&gt;0,N41*100/L41,0)</f>
        <v>32.45421142</v>
      </c>
      <c r="P41" s="101">
        <f t="shared" ref="P41:P43" si="38">IF(M41&gt;0,N41*100/M41,0)</f>
        <v>64.90842284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353800</v>
      </c>
      <c r="M43" s="102">
        <f t="shared" si="39"/>
        <v>176900</v>
      </c>
      <c r="N43" s="102">
        <f t="shared" si="39"/>
        <v>114823</v>
      </c>
      <c r="O43" s="101">
        <f t="shared" si="37"/>
        <v>32.45421142</v>
      </c>
      <c r="P43" s="101">
        <f t="shared" si="38"/>
        <v>64.90842284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353800</v>
      </c>
      <c r="M45" s="70">
        <f>IFERROR(__xludf.DUMMYFUNCTION("IMPORTRANGE(""https://docs.google.com/spreadsheets/d/1Yj_ptqi66GCucihVvJfMjLAmec39IyEx_6qawtMGysU/edit?usp=sharing"",""สบก!Q70"")"),176900.0)</f>
        <v>176900</v>
      </c>
      <c r="N45" s="70">
        <f>IFERROR(__xludf.DUMMYFUNCTION("IMPORTRANGE(""https://docs.google.com/spreadsheets/d/1Yj_ptqi66GCucihVvJfMjLAmec39IyEx_6qawtMGysU/edit?usp=sharing"",""สบก!R70"")"),114823.0)</f>
        <v>114823</v>
      </c>
      <c r="O45" s="61">
        <f>IF(L45&gt;0,N45*100/L45,0)</f>
        <v>32.45421142</v>
      </c>
      <c r="P45" s="61">
        <f>IF(M45&gt;0,N45*100/M45,0)</f>
        <v>64.90842284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IFERROR(__xludf.DUMMYFUNCTION("IMPORTRANGE(""https://docs.google.com/spreadsheets/d/1Yj_ptqi66GCucihVvJfMjLAmec39IyEx_6qawtMGysU/edit?usp=sharing"",""สบก!M70"")"),353800.0)</f>
        <v>353800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IFERROR(__xludf.DUMMYFUNCTION("IMPORTRANGE(""https://docs.google.com/spreadsheets/d/1Yj_ptqi66GCucihVvJfMjLAmec39IyEx_6qawtMGysU/edit?usp=sharing"",""สบก!N70"")"),0.0)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IFERROR(__xludf.DUMMYFUNCTION("IMPORTRANGE(""https://docs.google.com/spreadsheets/d/1Yj_ptqi66GCucihVvJfMjLAmec39IyEx_6qawtMGysU/edit?usp=sharing"",""สบก!O70"")"),0.0)</f>
        <v>0</v>
      </c>
      <c r="M49" s="70"/>
      <c r="N49" s="70">
        <f>IFERROR(__xludf.DUMMYFUNCTION("IMPORTRANGE(""https://docs.google.com/spreadsheets/d/1Yj_ptqi66GCucihVvJfMjLAmec39IyEx_6qawtMGysU/edit?usp=sharing"",""สบก!S70"")"),0.0)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310000</v>
      </c>
      <c r="M53" s="151">
        <f t="shared" si="40"/>
        <v>164000</v>
      </c>
      <c r="N53" s="151">
        <f t="shared" si="40"/>
        <v>92678</v>
      </c>
      <c r="O53" s="150">
        <f t="shared" ref="O53:O55" si="42">IF(L53&gt;0,N53*100/L53,0)</f>
        <v>29.89612903</v>
      </c>
      <c r="P53" s="150">
        <f t="shared" ref="P53:P55" si="43">IF(M53&gt;0,N53*100/M53,0)</f>
        <v>56.51097561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310000</v>
      </c>
      <c r="M55" s="151">
        <f t="shared" si="44"/>
        <v>164000</v>
      </c>
      <c r="N55" s="151">
        <f t="shared" si="44"/>
        <v>92678</v>
      </c>
      <c r="O55" s="150">
        <f t="shared" si="42"/>
        <v>29.89612903</v>
      </c>
      <c r="P55" s="150">
        <f t="shared" si="43"/>
        <v>56.51097561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310000</v>
      </c>
      <c r="M57" s="70">
        <f>IFERROR(__xludf.DUMMYFUNCTION("IMPORTRANGE(""https://docs.google.com/spreadsheets/d/1Yj_ptqi66GCucihVvJfMjLAmec39IyEx_6qawtMGysU/edit?usp=sharing"",""สบก!Z70"")"),164000.0)</f>
        <v>164000</v>
      </c>
      <c r="N57" s="70">
        <f>IFERROR(__xludf.DUMMYFUNCTION("IMPORTRANGE(""https://docs.google.com/spreadsheets/d/1Yj_ptqi66GCucihVvJfMjLAmec39IyEx_6qawtMGysU/edit?usp=sharing"",""สบก!AA70"")"),92678.0)</f>
        <v>92678</v>
      </c>
      <c r="O57" s="61">
        <f>IF(L57&gt;0,N57*100/L57,0)</f>
        <v>29.89612903</v>
      </c>
      <c r="P57" s="61">
        <f>IF(M57&gt;0,N57*100/M57,0)</f>
        <v>56.51097561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IFERROR(__xludf.DUMMYFUNCTION("IMPORTRANGE(""https://docs.google.com/spreadsheets/d/1Yj_ptqi66GCucihVvJfMjLAmec39IyEx_6qawtMGysU/edit?usp=sharing"",""สบก!V70"")"),310000.0)</f>
        <v>310000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IFERROR(__xludf.DUMMYFUNCTION("IMPORTRANGE(""https://docs.google.com/spreadsheets/d/1Yj_ptqi66GCucihVvJfMjLAmec39IyEx_6qawtMGysU/edit?usp=sharing"",""สบก!W70"")"),0.0)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IFERROR(__xludf.DUMMYFUNCTION("IMPORTRANGE(""https://docs.google.com/spreadsheets/d/1Yj_ptqi66GCucihVvJfMjLAmec39IyEx_6qawtMGysU/edit?usp=sharing"",""สบก!X70"")"),0.0)</f>
        <v>0</v>
      </c>
      <c r="M61" s="70"/>
      <c r="N61" s="70">
        <f>IFERROR(__xludf.DUMMYFUNCTION("IMPORTRANGE(""https://docs.google.com/spreadsheets/d/1Yj_ptqi66GCucihVvJfMjLAmec39IyEx_6qawtMGysU/edit?usp=sharing"",""สบก!AB70"")"),0.0)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IFERROR(__xludf.DUMMYFUNCTION("IMPORTRANGE(""https://docs.google.com/spreadsheets/d/1SX6NBoVAgQJ6U1MVXOaj8PK2l7WJ3RER9xtqwdhxkhw/edit?usp=sharing"",""พระนครศรีอยุธยา!I9"")"),1.0)</f>
        <v>1</v>
      </c>
      <c r="J64" s="172">
        <f>IFERROR(__xludf.DUMMYFUNCTION("IMPORTRANGE(""https://docs.google.com/spreadsheets/d/1SX6NBoVAgQJ6U1MVXOaj8PK2l7WJ3RER9xtqwdhxkhw/edit?usp=sharing"",""พระนครศรีอยุธยา!J9"")"),1.0)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IFERROR(__xludf.DUMMYFUNCTION("IMPORTRANGE(""https://docs.google.com/spreadsheets/d/1SX6NBoVAgQJ6U1MVXOaj8PK2l7WJ3RER9xtqwdhxkhw/edit?usp=sharing"",""พระนครศรีอยุธยา!I10"")"),30.0)</f>
        <v>30</v>
      </c>
      <c r="J65" s="172">
        <f>IFERROR(__xludf.DUMMYFUNCTION("IMPORTRANGE(""https://docs.google.com/spreadsheets/d/1SX6NBoVAgQJ6U1MVXOaj8PK2l7WJ3RER9xtqwdhxkhw/edit?usp=sharing"",""พระนครศรีอยุธยา!J10"")"),30.0)</f>
        <v>30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557200</v>
      </c>
      <c r="M66" s="183">
        <f t="shared" si="46"/>
        <v>315220</v>
      </c>
      <c r="N66" s="183">
        <f t="shared" si="46"/>
        <v>132020</v>
      </c>
      <c r="O66" s="182">
        <f t="shared" ref="O66:O68" si="48">IF(L66&gt;0,N66*100/L66,0)</f>
        <v>23.69346734</v>
      </c>
      <c r="P66" s="182">
        <f t="shared" ref="P66:P68" si="49">IF(M66&gt;0,N66*100/M66,0)</f>
        <v>41.88186029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557200</v>
      </c>
      <c r="M68" s="188">
        <f t="shared" si="50"/>
        <v>315220</v>
      </c>
      <c r="N68" s="188">
        <f t="shared" si="50"/>
        <v>132020</v>
      </c>
      <c r="O68" s="187">
        <f t="shared" si="48"/>
        <v>23.69346734</v>
      </c>
      <c r="P68" s="187">
        <f t="shared" si="49"/>
        <v>41.88186029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557200</v>
      </c>
      <c r="M70" s="200">
        <f>IFERROR(__xludf.DUMMYFUNCTION("IMPORTRANGE(""https://docs.google.com/spreadsheets/d/1Yj_ptqi66GCucihVvJfMjLAmec39IyEx_6qawtMGysU/edit?usp=sharing"",""สบก!AI70"")"),315220.0)</f>
        <v>315220</v>
      </c>
      <c r="N70" s="203">
        <f>IFERROR(__xludf.DUMMYFUNCTION("IMPORTRANGE(""https://docs.google.com/spreadsheets/d/1Yj_ptqi66GCucihVvJfMjLAmec39IyEx_6qawtMGysU/edit?usp=sharing"",""สบก!AJ70"")"),132020.0)</f>
        <v>132020</v>
      </c>
      <c r="O70" s="203">
        <f>IF(L70&gt;0,N70*100/L70,0)</f>
        <v>23.69346734</v>
      </c>
      <c r="P70" s="203">
        <f>IF(M70&gt;0,N70*100/M70,0)</f>
        <v>41.88186029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IFERROR(__xludf.DUMMYFUNCTION("IMPORTRANGE(""https://docs.google.com/spreadsheets/d/1Yj_ptqi66GCucihVvJfMjLAmec39IyEx_6qawtMGysU/edit?usp=sharing"",""สบก!AE70"")"),185200.0)</f>
        <v>185200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IFERROR(__xludf.DUMMYFUNCTION("IMPORTRANGE(""https://docs.google.com/spreadsheets/d/1Yj_ptqi66GCucihVvJfMjLAmec39IyEx_6qawtMGysU/edit?usp=sharing"",""สบก!AF70"")"),372000.0)</f>
        <v>372000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IFERROR(__xludf.DUMMYFUNCTION("IMPORTRANGE(""https://docs.google.com/spreadsheets/d/1Yj_ptqi66GCucihVvJfMjLAmec39IyEx_6qawtMGysU/edit?usp=sharing"",""สบก!AG70"")"),0.0)</f>
        <v>0</v>
      </c>
      <c r="M74" s="70"/>
      <c r="N74" s="70">
        <f>IFERROR(__xludf.DUMMYFUNCTION("IMPORTRANGE(""https://docs.google.com/spreadsheets/d/1Yj_ptqi66GCucihVvJfMjLAmec39IyEx_6qawtMGysU/edit?usp=sharing"",""สบก!AK70"")"),0.0)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IFERROR(__xludf.DUMMYFUNCTION("IMPORTRANGE(""https://docs.google.com/spreadsheets/d/1SX6NBoVAgQJ6U1MVXOaj8PK2l7WJ3RER9xtqwdhxkhw/edit?usp=sharing"",""พระนครศรีอยุธยา!J16"")"),0.0)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IFERROR(__xludf.DUMMYFUNCTION("IMPORTRANGE(""https://docs.google.com/spreadsheets/d/1SX6NBoVAgQJ6U1MVXOaj8PK2l7WJ3RER9xtqwdhxkhw/edit?usp=sharing"",""พระนครศรีอยุธยา!J17"")"),1.0)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IFERROR(__xludf.DUMMYFUNCTION("IMPORTRANGE(""https://docs.google.com/spreadsheets/d/1SX6NBoVAgQJ6U1MVXOaj8PK2l7WJ3RER9xtqwdhxkhw/edit?usp=sharing"",""พระนครศรีอยุธยา!J18"")"),1.0)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IFERROR(__xludf.DUMMYFUNCTION("IMPORTRANGE(""https://docs.google.com/spreadsheets/d/1SX6NBoVAgQJ6U1MVXOaj8PK2l7WJ3RER9xtqwdhxkhw/edit?usp=sharing"",""พระนครศรีอยุธยา!J19"")"),1.0)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IFERROR(__xludf.DUMMYFUNCTION("IMPORTRANGE(""https://docs.google.com/spreadsheets/d/1SX6NBoVAgQJ6U1MVXOaj8PK2l7WJ3RER9xtqwdhxkhw/edit?usp=sharing"",""พระนครศรีอยุธยา!I20"")"),1.0)</f>
        <v>1</v>
      </c>
      <c r="J80" s="235">
        <f>IFERROR(__xludf.DUMMYFUNCTION("IMPORTRANGE(""https://docs.google.com/spreadsheets/d/1SX6NBoVAgQJ6U1MVXOaj8PK2l7WJ3RER9xtqwdhxkhw/edit?usp=sharing"",""พระนครศรีอยุธยา!J20"")"),1.0)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IFERROR(__xludf.DUMMYFUNCTION("IMPORTRANGE(""https://docs.google.com/spreadsheets/d/1SX6NBoVAgQJ6U1MVXOaj8PK2l7WJ3RER9xtqwdhxkhw/edit?usp=sharing"",""พระนครศรีอยุธยา!I21"")"),30.0)</f>
        <v>30</v>
      </c>
      <c r="J81" s="235">
        <f>IFERROR(__xludf.DUMMYFUNCTION("IMPORTRANGE(""https://docs.google.com/spreadsheets/d/1SX6NBoVAgQJ6U1MVXOaj8PK2l7WJ3RER9xtqwdhxkhw/edit?usp=sharing"",""พระนครศรีอยุธยา!J21"")"),30.0)</f>
        <v>30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IFERROR(__xludf.DUMMYFUNCTION("IMPORTRANGE(""https://docs.google.com/spreadsheets/d/1SX6NBoVAgQJ6U1MVXOaj8PK2l7WJ3RER9xtqwdhxkhw/edit?usp=sharing"",""พระนครศรีอยุธยา!I22"")"),0.0)</f>
        <v>0</v>
      </c>
      <c r="J82" s="238">
        <f>IFERROR(__xludf.DUMMYFUNCTION("IMPORTRANGE(""https://docs.google.com/spreadsheets/d/1SX6NBoVAgQJ6U1MVXOaj8PK2l7WJ3RER9xtqwdhxkhw/edit?usp=sharing"",""พระนครศรีอยุธยา!J22"")"),0.0)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IFERROR(__xludf.DUMMYFUNCTION("IMPORTRANGE(""https://docs.google.com/spreadsheets/d/1SX6NBoVAgQJ6U1MVXOaj8PK2l7WJ3RER9xtqwdhxkhw/edit?usp=sharing"",""พระนครศรีอยุธยา!I23"")"),0.0)</f>
        <v>0</v>
      </c>
      <c r="J83" s="238">
        <f>IFERROR(__xludf.DUMMYFUNCTION("IMPORTRANGE(""https://docs.google.com/spreadsheets/d/1SX6NBoVAgQJ6U1MVXOaj8PK2l7WJ3RER9xtqwdhxkhw/edit?usp=sharing"",""พระนครศรีอยุธยา!J23"")"),0.0)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IFERROR(__xludf.DUMMYFUNCTION("IMPORTRANGE(""https://docs.google.com/spreadsheets/d/1SX6NBoVAgQJ6U1MVXOaj8PK2l7WJ3RER9xtqwdhxkhw/edit?usp=sharing"",""พระนครศรีอยุธยา!I24"")"),0.0)</f>
        <v>0</v>
      </c>
      <c r="J84" s="223">
        <f>IFERROR(__xludf.DUMMYFUNCTION("IMPORTRANGE(""https://docs.google.com/spreadsheets/d/1SX6NBoVAgQJ6U1MVXOaj8PK2l7WJ3RER9xtqwdhxkhw/edit?usp=sharing"",""พระนครศรีอยุธยา!J24"")"),0.0)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IFERROR(__xludf.DUMMYFUNCTION("IMPORTRANGE(""https://docs.google.com/spreadsheets/d/1SX6NBoVAgQJ6U1MVXOaj8PK2l7WJ3RER9xtqwdhxkhw/edit?usp=sharing"",""พระนครศรีอยุธยา!I25"")"),0.0)</f>
        <v>0</v>
      </c>
      <c r="J85" s="223">
        <f>IFERROR(__xludf.DUMMYFUNCTION("IMPORTRANGE(""https://docs.google.com/spreadsheets/d/1SX6NBoVAgQJ6U1MVXOaj8PK2l7WJ3RER9xtqwdhxkhw/edit?usp=sharing"",""พระนครศรีอยุธยา!J25"")"),0.0)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IFERROR(__xludf.DUMMYFUNCTION("IMPORTRANGE(""https://docs.google.com/spreadsheets/d/1SX6NBoVAgQJ6U1MVXOaj8PK2l7WJ3RER9xtqwdhxkhw/edit?usp=sharing"",""พระนครศรีอยุธยา!I26"")"),1.0)</f>
        <v>1</v>
      </c>
      <c r="J86" s="238">
        <f>IFERROR(__xludf.DUMMYFUNCTION("IMPORTRANGE(""https://docs.google.com/spreadsheets/d/1SX6NBoVAgQJ6U1MVXOaj8PK2l7WJ3RER9xtqwdhxkhw/edit?usp=sharing"",""พระนครศรีอยุธยา!J26"")"),1.0)</f>
        <v>1</v>
      </c>
      <c r="K86" s="196">
        <f t="shared" si="51"/>
        <v>100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IFERROR(__xludf.DUMMYFUNCTION("IMPORTRANGE(""https://docs.google.com/spreadsheets/d/1SX6NBoVAgQJ6U1MVXOaj8PK2l7WJ3RER9xtqwdhxkhw/edit?usp=sharing"",""พระนครศรีอยุธยา!I27"")"),30.0)</f>
        <v>30</v>
      </c>
      <c r="J87" s="238">
        <f>IFERROR(__xludf.DUMMYFUNCTION("IMPORTRANGE(""https://docs.google.com/spreadsheets/d/1SX6NBoVAgQJ6U1MVXOaj8PK2l7WJ3RER9xtqwdhxkhw/edit?usp=sharing"",""พระนครศรีอยุธยา!J27"")"),30.0)</f>
        <v>30</v>
      </c>
      <c r="K87" s="196">
        <f t="shared" si="51"/>
        <v>100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IFERROR(__xludf.DUMMYFUNCTION("IMPORTRANGE(""https://docs.google.com/spreadsheets/d/1SX6NBoVAgQJ6U1MVXOaj8PK2l7WJ3RER9xtqwdhxkhw/edit?usp=sharing"",""พระนครศรีอยุธยา!I28"")"),0.0)</f>
        <v>0</v>
      </c>
      <c r="J88" s="238">
        <f>IFERROR(__xludf.DUMMYFUNCTION("IMPORTRANGE(""https://docs.google.com/spreadsheets/d/1SX6NBoVAgQJ6U1MVXOaj8PK2l7WJ3RER9xtqwdhxkhw/edit?usp=sharing"",""พระนครศรีอยุธยา!J28"")"),0.0)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IFERROR(__xludf.DUMMYFUNCTION("IMPORTRANGE(""https://docs.google.com/spreadsheets/d/1SX6NBoVAgQJ6U1MVXOaj8PK2l7WJ3RER9xtqwdhxkhw/edit?usp=sharing"",""พระนครศรีอยุธยา!J29"")"),0.0)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IFERROR(__xludf.DUMMYFUNCTION("IMPORTRANGE(""https://docs.google.com/spreadsheets/d/1SX6NBoVAgQJ6U1MVXOaj8PK2l7WJ3RER9xtqwdhxkhw/edit?usp=sharing"",""พระนครศรีอยุธยา!J30"")"),0.0)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IFERROR(__xludf.DUMMYFUNCTION("IMPORTRANGE(""https://docs.google.com/spreadsheets/d/1SX6NBoVAgQJ6U1MVXOaj8PK2l7WJ3RER9xtqwdhxkhw/edit?usp=sharing"",""พระนครศรีอยุธยา!I32"")"),0.0)</f>
        <v>0</v>
      </c>
      <c r="J92" s="172">
        <f>IFERROR(__xludf.DUMMYFUNCTION("IMPORTRANGE(""https://docs.google.com/spreadsheets/d/1SX6NBoVAgQJ6U1MVXOaj8PK2l7WJ3RER9xtqwdhxkhw/edit?usp=sharing"",""พระนครศรีอยุธยา!J32"")"),0.0)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IFERROR(__xludf.DUMMYFUNCTION("IMPORTRANGE(""https://docs.google.com/spreadsheets/d/1SX6NBoVAgQJ6U1MVXOaj8PK2l7WJ3RER9xtqwdhxkhw/edit?usp=sharing"",""พระนครศรีอยุธยา!I33"")"),0.0)</f>
        <v>0</v>
      </c>
      <c r="J93" s="172">
        <f>IFERROR(__xludf.DUMMYFUNCTION("IMPORTRANGE(""https://docs.google.com/spreadsheets/d/1SX6NBoVAgQJ6U1MVXOaj8PK2l7WJ3RER9xtqwdhxkhw/edit?usp=sharing"",""พระนครศรีอยุธยา!J33"")"),0.0)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IFERROR(__xludf.DUMMYFUNCTION("IMPORTRANGE(""https://docs.google.com/spreadsheets/d/1Yj_ptqi66GCucihVvJfMjLAmec39IyEx_6qawtMGysU/edit?usp=sharing"",""สบก!AR70"")"),0.0)</f>
        <v>0</v>
      </c>
      <c r="N98" s="203">
        <f>IFERROR(__xludf.DUMMYFUNCTION("IMPORTRANGE(""https://docs.google.com/spreadsheets/d/1Yj_ptqi66GCucihVvJfMjLAmec39IyEx_6qawtMGysU/edit?usp=sharing"",""สบก!AS70"")"),0.0)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IFERROR(__xludf.DUMMYFUNCTION("IMPORTRANGE(""https://docs.google.com/spreadsheets/d/1Yj_ptqi66GCucihVvJfMjLAmec39IyEx_6qawtMGysU/edit?usp=sharing"",""สบก!AN70"")"),0.0)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IFERROR(__xludf.DUMMYFUNCTION("IMPORTRANGE(""https://docs.google.com/spreadsheets/d/1Yj_ptqi66GCucihVvJfMjLAmec39IyEx_6qawtMGysU/edit?usp=sharing"",""สบก!AO70"")"),0.0)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IFERROR(__xludf.DUMMYFUNCTION("IMPORTRANGE(""https://docs.google.com/spreadsheets/d/1Yj_ptqi66GCucihVvJfMjLAmec39IyEx_6qawtMGysU/edit?usp=sharing"",""สบก!AP70"")"),0.0)</f>
        <v>0</v>
      </c>
      <c r="M102" s="70"/>
      <c r="N102" s="70">
        <f>IFERROR(__xludf.DUMMYFUNCTION("IMPORTRANGE(""https://docs.google.com/spreadsheets/d/1Yj_ptqi66GCucihVvJfMjLAmec39IyEx_6qawtMGysU/edit?usp=sharing"",""สบก!AT70"")"),0.0)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IFERROR(__xludf.DUMMYFUNCTION("IMPORTRANGE(""https://docs.google.com/spreadsheets/d/1SX6NBoVAgQJ6U1MVXOaj8PK2l7WJ3RER9xtqwdhxkhw/edit?usp=sharing"",""พระนครศรีอยุธยา!J39"")"),0.0)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IFERROR(__xludf.DUMMYFUNCTION("IMPORTRANGE(""https://docs.google.com/spreadsheets/d/1SX6NBoVAgQJ6U1MVXOaj8PK2l7WJ3RER9xtqwdhxkhw/edit?usp=sharing"",""พระนครศรีอยุธยา!J40"")"),0.0)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IFERROR(__xludf.DUMMYFUNCTION("IMPORTRANGE(""https://docs.google.com/spreadsheets/d/1SX6NBoVAgQJ6U1MVXOaj8PK2l7WJ3RER9xtqwdhxkhw/edit?usp=sharing"",""พระนครศรีอยุธยา!J41"")"),0.0)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IFERROR(__xludf.DUMMYFUNCTION("IMPORTRANGE(""https://docs.google.com/spreadsheets/d/1SX6NBoVAgQJ6U1MVXOaj8PK2l7WJ3RER9xtqwdhxkhw/edit?usp=sharing"",""พระนครศรีอยุธยา!J42"")"),0.0)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IFERROR(__xludf.DUMMYFUNCTION("IMPORTRANGE(""https://docs.google.com/spreadsheets/d/1SX6NBoVAgQJ6U1MVXOaj8PK2l7WJ3RER9xtqwdhxkhw/edit?usp=sharing"",""พระนครศรีอยุธยา!I43"")"),0.0)</f>
        <v>0</v>
      </c>
      <c r="J108" s="238">
        <f>IFERROR(__xludf.DUMMYFUNCTION("IMPORTRANGE(""https://docs.google.com/spreadsheets/d/1SX6NBoVAgQJ6U1MVXOaj8PK2l7WJ3RER9xtqwdhxkhw/edit?usp=sharing"",""พระนครศรีอยุธยา!J43"")"),0.0)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IFERROR(__xludf.DUMMYFUNCTION("IMPORTRANGE(""https://docs.google.com/spreadsheets/d/1SX6NBoVAgQJ6U1MVXOaj8PK2l7WJ3RER9xtqwdhxkhw/edit?usp=sharing"",""พระนครศรีอยุธยา!I44"")"),0.0)</f>
        <v>0</v>
      </c>
      <c r="J109" s="238">
        <f>IFERROR(__xludf.DUMMYFUNCTION("IMPORTRANGE(""https://docs.google.com/spreadsheets/d/1SX6NBoVAgQJ6U1MVXOaj8PK2l7WJ3RER9xtqwdhxkhw/edit?usp=sharing"",""พระนครศรีอยุธยา!J44"")"),0.0)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IFERROR(__xludf.DUMMYFUNCTION("IMPORTRANGE(""https://docs.google.com/spreadsheets/d/1SX6NBoVAgQJ6U1MVXOaj8PK2l7WJ3RER9xtqwdhxkhw/edit?usp=sharing"",""พระนครศรีอยุธยา!I45"")"),0.0)</f>
        <v>0</v>
      </c>
      <c r="J110" s="238">
        <f>IFERROR(__xludf.DUMMYFUNCTION("IMPORTRANGE(""https://docs.google.com/spreadsheets/d/1SX6NBoVAgQJ6U1MVXOaj8PK2l7WJ3RER9xtqwdhxkhw/edit?usp=sharing"",""พระนครศรีอยุธยา!J45"")"),0.0)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IFERROR(__xludf.DUMMYFUNCTION("IMPORTRANGE(""https://docs.google.com/spreadsheets/d/1SX6NBoVAgQJ6U1MVXOaj8PK2l7WJ3RER9xtqwdhxkhw/edit?usp=sharing"",""พระนครศรีอยุธยา!I46"")"),0.0)</f>
        <v>0</v>
      </c>
      <c r="J111" s="238">
        <f>IFERROR(__xludf.DUMMYFUNCTION("IMPORTRANGE(""https://docs.google.com/spreadsheets/d/1SX6NBoVAgQJ6U1MVXOaj8PK2l7WJ3RER9xtqwdhxkhw/edit?usp=sharing"",""พระนครศรีอยุธยา!J46"")"),0.0)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IFERROR(__xludf.DUMMYFUNCTION("IMPORTRANGE(""https://docs.google.com/spreadsheets/d/1SX6NBoVAgQJ6U1MVXOaj8PK2l7WJ3RER9xtqwdhxkhw/edit?usp=sharing"",""พระนครศรีอยุธยา!I47"")"),0.0)</f>
        <v>0</v>
      </c>
      <c r="J112" s="238">
        <f>IFERROR(__xludf.DUMMYFUNCTION("IMPORTRANGE(""https://docs.google.com/spreadsheets/d/1SX6NBoVAgQJ6U1MVXOaj8PK2l7WJ3RER9xtqwdhxkhw/edit?usp=sharing"",""พระนครศรีอยุธยา!J47"")"),0.0)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IFERROR(__xludf.DUMMYFUNCTION("IMPORTRANGE(""https://docs.google.com/spreadsheets/d/1SX6NBoVAgQJ6U1MVXOaj8PK2l7WJ3RER9xtqwdhxkhw/edit?usp=sharing"",""พระนครศรีอยุธยา!I48"")"),0.0)</f>
        <v>0</v>
      </c>
      <c r="J113" s="238">
        <f>IFERROR(__xludf.DUMMYFUNCTION("IMPORTRANGE(""https://docs.google.com/spreadsheets/d/1SX6NBoVAgQJ6U1MVXOaj8PK2l7WJ3RER9xtqwdhxkhw/edit?usp=sharing"",""พระนครศรีอยุธยา!J48"")"),0.0)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IFERROR(__xludf.DUMMYFUNCTION("IMPORTRANGE(""https://docs.google.com/spreadsheets/d/1SX6NBoVAgQJ6U1MVXOaj8PK2l7WJ3RER9xtqwdhxkhw/edit?usp=sharing"",""พระนครศรีอยุธยา!J49"")"),0.0)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IFERROR(__xludf.DUMMYFUNCTION("IMPORTRANGE(""https://docs.google.com/spreadsheets/d/1SX6NBoVAgQJ6U1MVXOaj8PK2l7WJ3RER9xtqwdhxkhw/edit?usp=sharing"",""พระนครศรีอยุธยา!J50"")"),0.0)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IFERROR(__xludf.DUMMYFUNCTION("IMPORTRANGE(""https://docs.google.com/spreadsheets/d/1SX6NBoVAgQJ6U1MVXOaj8PK2l7WJ3RER9xtqwdhxkhw/edit?usp=sharing"",""พระนครศรีอยุธยา!I52"")"),0.0)</f>
        <v>0</v>
      </c>
      <c r="J117" s="172">
        <f>IFERROR(__xludf.DUMMYFUNCTION("IMPORTRANGE(""https://docs.google.com/spreadsheets/d/1SX6NBoVAgQJ6U1MVXOaj8PK2l7WJ3RER9xtqwdhxkhw/edit?usp=sharing"",""พระนครศรีอยุธยา!J52"")"),0.0)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IFERROR(__xludf.DUMMYFUNCTION("IMPORTRANGE(""https://docs.google.com/spreadsheets/d/1Yj_ptqi66GCucihVvJfMjLAmec39IyEx_6qawtMGysU/edit?usp=sharing"",""สบก!BA70"")"),0.0)</f>
        <v>0</v>
      </c>
      <c r="N122" s="203">
        <f>IFERROR(__xludf.DUMMYFUNCTION("IMPORTRANGE(""https://docs.google.com/spreadsheets/d/1Yj_ptqi66GCucihVvJfMjLAmec39IyEx_6qawtMGysU/edit?usp=sharing"",""สบก!BB70"")"),0.0)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IFERROR(__xludf.DUMMYFUNCTION("IMPORTRANGE(""https://docs.google.com/spreadsheets/d/1Yj_ptqi66GCucihVvJfMjLAmec39IyEx_6qawtMGysU/edit?usp=sharing"",""สบก!AW70"")"),0.0)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IFERROR(__xludf.DUMMYFUNCTION("IMPORTRANGE(""https://docs.google.com/spreadsheets/d/1Yj_ptqi66GCucihVvJfMjLAmec39IyEx_6qawtMGysU/edit?usp=sharing"",""สบก!AX70"")"),0.0)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IFERROR(__xludf.DUMMYFUNCTION("IMPORTRANGE(""https://docs.google.com/spreadsheets/d/1Yj_ptqi66GCucihVvJfMjLAmec39IyEx_6qawtMGysU/edit?usp=sharing"",""สบก!AY70"")"),0.0)</f>
        <v>0</v>
      </c>
      <c r="M126" s="70"/>
      <c r="N126" s="70">
        <f>IFERROR(__xludf.DUMMYFUNCTION("IMPORTRANGE(""https://docs.google.com/spreadsheets/d/1Yj_ptqi66GCucihVvJfMjLAmec39IyEx_6qawtMGysU/edit?usp=sharing"",""สบก!BC70"")"),0.0)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262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IFERROR(__xludf.DUMMYFUNCTION("IMPORTRANGE(""https://docs.google.com/spreadsheets/d/1SX6NBoVAgQJ6U1MVXOaj8PK2l7WJ3RER9xtqwdhxkhw/edit?usp=sharing"",""พระนครศรีอยุธยา!J58"")"),0.0)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IFERROR(__xludf.DUMMYFUNCTION("IMPORTRANGE(""https://docs.google.com/spreadsheets/d/1SX6NBoVAgQJ6U1MVXOaj8PK2l7WJ3RER9xtqwdhxkhw/edit?usp=sharing"",""พระนครศรีอยุธยา!J59"")"),0.0)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IFERROR(__xludf.DUMMYFUNCTION("IMPORTRANGE(""https://docs.google.com/spreadsheets/d/1SX6NBoVAgQJ6U1MVXOaj8PK2l7WJ3RER9xtqwdhxkhw/edit?usp=sharing"",""พระนครศรีอยุธยา!J60"")"),0.0)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IFERROR(__xludf.DUMMYFUNCTION("IMPORTRANGE(""https://docs.google.com/spreadsheets/d/1SX6NBoVAgQJ6U1MVXOaj8PK2l7WJ3RER9xtqwdhxkhw/edit?usp=sharing"",""พระนครศรีอยุธยา!J61"")"),0.0)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IFERROR(__xludf.DUMMYFUNCTION("IMPORTRANGE(""https://docs.google.com/spreadsheets/d/1SX6NBoVAgQJ6U1MVXOaj8PK2l7WJ3RER9xtqwdhxkhw/edit?usp=sharing"",""พระนครศรีอยุธยา!I62"")"),0.0)</f>
        <v>0</v>
      </c>
      <c r="J132" s="238">
        <f>IFERROR(__xludf.DUMMYFUNCTION("IMPORTRANGE(""https://docs.google.com/spreadsheets/d/1SX6NBoVAgQJ6U1MVXOaj8PK2l7WJ3RER9xtqwdhxkhw/edit?usp=sharing"",""พระนครศรีอยุธยา!J62"")"),0.0)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IFERROR(__xludf.DUMMYFUNCTION("IMPORTRANGE(""https://docs.google.com/spreadsheets/d/1SX6NBoVAgQJ6U1MVXOaj8PK2l7WJ3RER9xtqwdhxkhw/edit?usp=sharing"",""พระนครศรีอยุธยา!I63"")"),0.0)</f>
        <v>0</v>
      </c>
      <c r="J133" s="238">
        <f>IFERROR(__xludf.DUMMYFUNCTION("IMPORTRANGE(""https://docs.google.com/spreadsheets/d/1SX6NBoVAgQJ6U1MVXOaj8PK2l7WJ3RER9xtqwdhxkhw/edit?usp=sharing"",""พระนครศรีอยุธยา!J63"")"),0.0)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IFERROR(__xludf.DUMMYFUNCTION("IMPORTRANGE(""https://docs.google.com/spreadsheets/d/1SX6NBoVAgQJ6U1MVXOaj8PK2l7WJ3RER9xtqwdhxkhw/edit?usp=sharing"",""พระนครศรีอยุธยา!J64"")"),0.0)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IFERROR(__xludf.DUMMYFUNCTION("IMPORTRANGE(""https://docs.google.com/spreadsheets/d/1SX6NBoVAgQJ6U1MVXOaj8PK2l7WJ3RER9xtqwdhxkhw/edit?usp=sharing"",""พระนครศรีอยุธยา!J65"")"),0.0)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IFERROR(__xludf.DUMMYFUNCTION("IMPORTRANGE(""https://docs.google.com/spreadsheets/d/1SX6NBoVAgQJ6U1MVXOaj8PK2l7WJ3RER9xtqwdhxkhw/edit?usp=sharing"",""พระนครศรีอยุธยา!I68"")"),40.0)</f>
        <v>40</v>
      </c>
      <c r="J138" s="301">
        <f>IFERROR(__xludf.DUMMYFUNCTION("IMPORTRANGE(""https://docs.google.com/spreadsheets/d/1SX6NBoVAgQJ6U1MVXOaj8PK2l7WJ3RER9xtqwdhxkhw/edit?usp=sharing"",""พระนครศรีอยุธยา!J68"")"),40.0)</f>
        <v>40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670200</v>
      </c>
      <c r="M140" s="183">
        <f t="shared" si="65"/>
        <v>438430</v>
      </c>
      <c r="N140" s="183">
        <f t="shared" si="65"/>
        <v>253809</v>
      </c>
      <c r="O140" s="182">
        <f t="shared" ref="O140:O142" si="67">IF(L140&gt;0,N140*100/L140,0)</f>
        <v>37.87063563</v>
      </c>
      <c r="P140" s="182">
        <f t="shared" ref="P140:P142" si="68">IF(M140&gt;0,N140*100/M140,0)</f>
        <v>57.89042721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670200</v>
      </c>
      <c r="M142" s="188">
        <f t="shared" si="69"/>
        <v>438430</v>
      </c>
      <c r="N142" s="188">
        <f t="shared" si="69"/>
        <v>253809</v>
      </c>
      <c r="O142" s="187">
        <f t="shared" si="67"/>
        <v>37.87063563</v>
      </c>
      <c r="P142" s="187">
        <f t="shared" si="68"/>
        <v>57.89042721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670200</v>
      </c>
      <c r="M144" s="200">
        <f>IFERROR(__xludf.DUMMYFUNCTION("IMPORTRANGE(""https://docs.google.com/spreadsheets/d/1Yj_ptqi66GCucihVvJfMjLAmec39IyEx_6qawtMGysU/edit?usp=sharing"",""สบก!BJ70"")"),438430.0)</f>
        <v>438430</v>
      </c>
      <c r="N144" s="203">
        <f>IFERROR(__xludf.DUMMYFUNCTION("IMPORTRANGE(""https://docs.google.com/spreadsheets/d/1Yj_ptqi66GCucihVvJfMjLAmec39IyEx_6qawtMGysU/edit?usp=sharing"",""สบก!BK70"")"),253809.0)</f>
        <v>253809</v>
      </c>
      <c r="O144" s="203">
        <f>IF(L144&gt;0,N144*100/L144,0)</f>
        <v>37.87063563</v>
      </c>
      <c r="P144" s="203">
        <f>IF(M144&gt;0,N144*100/M144,0)</f>
        <v>57.89042721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IFERROR(__xludf.DUMMYFUNCTION("IMPORTRANGE(""https://docs.google.com/spreadsheets/d/1Yj_ptqi66GCucihVvJfMjLAmec39IyEx_6qawtMGysU/edit?usp=sharing"",""สบก!BF70"")"),396000.0)</f>
        <v>396000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IFERROR(__xludf.DUMMYFUNCTION("IMPORTRANGE(""https://docs.google.com/spreadsheets/d/1Yj_ptqi66GCucihVvJfMjLAmec39IyEx_6qawtMGysU/edit?usp=sharing"",""สบก!BG70"")"),274200.0)</f>
        <v>274200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IFERROR(__xludf.DUMMYFUNCTION("IMPORTRANGE(""https://docs.google.com/spreadsheets/d/1Yj_ptqi66GCucihVvJfMjLAmec39IyEx_6qawtMGysU/edit?usp=sharing"",""สบก!BH70"")"),0.0)</f>
        <v>0</v>
      </c>
      <c r="M148" s="70"/>
      <c r="N148" s="70">
        <f>IFERROR(__xludf.DUMMYFUNCTION("IMPORTRANGE(""https://docs.google.com/spreadsheets/d/1Yj_ptqi66GCucihVvJfMjLAmec39IyEx_6qawtMGysU/edit?usp=sharing"",""สบก!BL70"")"),0.0)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IFERROR(__xludf.DUMMYFUNCTION("IMPORTRANGE(""https://docs.google.com/spreadsheets/d/1SX6NBoVAgQJ6U1MVXOaj8PK2l7WJ3RER9xtqwdhxkhw/edit?usp=sharing"",""พระนครศรีอยุธยา!I74"")"),4.0)</f>
        <v>4</v>
      </c>
      <c r="J149" s="309">
        <f>IFERROR(__xludf.DUMMYFUNCTION("IMPORTRANGE(""https://docs.google.com/spreadsheets/d/1SX6NBoVAgQJ6U1MVXOaj8PK2l7WJ3RER9xtqwdhxkhw/edit?usp=sharing"",""พระนครศรีอยุธยา!J74"")"),0.0)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IFERROR(__xludf.DUMMYFUNCTION("IMPORTRANGE(""https://docs.google.com/spreadsheets/d/1SX6NBoVAgQJ6U1MVXOaj8PK2l7WJ3RER9xtqwdhxkhw/edit?usp=sharing"",""พระนครศรีอยุธยา!J79"")"),0.0)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IFERROR(__xludf.DUMMYFUNCTION("IMPORTRANGE(""https://docs.google.com/spreadsheets/d/1SX6NBoVAgQJ6U1MVXOaj8PK2l7WJ3RER9xtqwdhxkhw/edit?usp=sharing"",""พระนครศรีอยุธยา!J80"")"),1.0)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IFERROR(__xludf.DUMMYFUNCTION("IMPORTRANGE(""https://docs.google.com/spreadsheets/d/1SX6NBoVAgQJ6U1MVXOaj8PK2l7WJ3RER9xtqwdhxkhw/edit?usp=sharing"",""พระนครศรีอยุธยา!J81"")"),1.0)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IFERROR(__xludf.DUMMYFUNCTION("IMPORTRANGE(""https://docs.google.com/spreadsheets/d/1SX6NBoVAgQJ6U1MVXOaj8PK2l7WJ3RER9xtqwdhxkhw/edit?usp=sharing"",""พระนครศรีอยุธยา!J82"")"),0.0)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IFERROR(__xludf.DUMMYFUNCTION("IMPORTRANGE(""https://docs.google.com/spreadsheets/d/1SX6NBoVAgQJ6U1MVXOaj8PK2l7WJ3RER9xtqwdhxkhw/edit?usp=sharing"",""พระนครศรีอยุธยา!I83"")"),4.0)</f>
        <v>4</v>
      </c>
      <c r="J158" s="223">
        <f>IFERROR(__xludf.DUMMYFUNCTION("IMPORTRANGE(""https://docs.google.com/spreadsheets/d/1SX6NBoVAgQJ6U1MVXOaj8PK2l7WJ3RER9xtqwdhxkhw/edit?usp=sharing"",""พระนครศรีอยุธยา!J83"")"),0.0)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IFERROR(__xludf.DUMMYFUNCTION("IMPORTRANGE(""https://docs.google.com/spreadsheets/d/1SX6NBoVAgQJ6U1MVXOaj8PK2l7WJ3RER9xtqwdhxkhw/edit?usp=sharing"",""พระนครศรีอยุธยา!J84"")"),0.0)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IFERROR(__xludf.DUMMYFUNCTION("IMPORTRANGE(""https://docs.google.com/spreadsheets/d/1SX6NBoVAgQJ6U1MVXOaj8PK2l7WJ3RER9xtqwdhxkhw/edit?usp=sharing"",""พระนครศรีอยุธยา!J85"")"),0.0)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IFERROR(__xludf.DUMMYFUNCTION("IMPORTRANGE(""https://docs.google.com/spreadsheets/d/1SX6NBoVAgQJ6U1MVXOaj8PK2l7WJ3RER9xtqwdhxkhw/edit?usp=sharing"",""พระนครศรีอยุธยา!J86"")"),0.0)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IFERROR(__xludf.DUMMYFUNCTION("IMPORTRANGE(""https://docs.google.com/spreadsheets/d/1SX6NBoVAgQJ6U1MVXOaj8PK2l7WJ3RER9xtqwdhxkhw/edit?usp=sharing"",""พระนครศรีอยุธยา!J87"")"),0.0)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IFERROR(__xludf.DUMMYFUNCTION("IMPORTRANGE(""https://docs.google.com/spreadsheets/d/1SX6NBoVAgQJ6U1MVXOaj8PK2l7WJ3RER9xtqwdhxkhw/edit?usp=sharing"",""พระนครศรีอยุธยา!J88"")"),0.0)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IFERROR(__xludf.DUMMYFUNCTION("IMPORTRANGE(""https://docs.google.com/spreadsheets/d/1SX6NBoVAgQJ6U1MVXOaj8PK2l7WJ3RER9xtqwdhxkhw/edit?usp=sharing"",""พระนครศรีอยุธยา!I89"")"),3.0)</f>
        <v>3</v>
      </c>
      <c r="J164" s="317">
        <f>IFERROR(__xludf.DUMMYFUNCTION("IMPORTRANGE(""https://docs.google.com/spreadsheets/d/1SX6NBoVAgQJ6U1MVXOaj8PK2l7WJ3RER9xtqwdhxkhw/edit?usp=sharing"",""พระนครศรีอยุธยา!J89"")"),0.0)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IFERROR(__xludf.DUMMYFUNCTION("IMPORTRANGE(""https://docs.google.com/spreadsheets/d/1SX6NBoVAgQJ6U1MVXOaj8PK2l7WJ3RER9xtqwdhxkhw/edit?usp=sharing"",""พระนครศรีอยุธยา!J94"")"),0.0)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IFERROR(__xludf.DUMMYFUNCTION("IMPORTRANGE(""https://docs.google.com/spreadsheets/d/1SX6NBoVAgQJ6U1MVXOaj8PK2l7WJ3RER9xtqwdhxkhw/edit?usp=sharing"",""พระนครศรีอยุธยา!J95"")"),1.0)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IFERROR(__xludf.DUMMYFUNCTION("IMPORTRANGE(""https://docs.google.com/spreadsheets/d/1SX6NBoVAgQJ6U1MVXOaj8PK2l7WJ3RER9xtqwdhxkhw/edit?usp=sharing"",""พระนครศรีอยุธยา!J96"")"),1.0)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IFERROR(__xludf.DUMMYFUNCTION("IMPORTRANGE(""https://docs.google.com/spreadsheets/d/1SX6NBoVAgQJ6U1MVXOaj8PK2l7WJ3RER9xtqwdhxkhw/edit?usp=sharing"",""พระนครศรีอยุธยา!J97"")"),0.0)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IFERROR(__xludf.DUMMYFUNCTION("IMPORTRANGE(""https://docs.google.com/spreadsheets/d/1SX6NBoVAgQJ6U1MVXOaj8PK2l7WJ3RER9xtqwdhxkhw/edit?usp=sharing"",""พระนครศรีอยุธยา!I98"")"),3.0)</f>
        <v>3</v>
      </c>
      <c r="J173" s="223">
        <f>IFERROR(__xludf.DUMMYFUNCTION("IMPORTRANGE(""https://docs.google.com/spreadsheets/d/1SX6NBoVAgQJ6U1MVXOaj8PK2l7WJ3RER9xtqwdhxkhw/edit?usp=sharing"",""พระนครศรีอยุธยา!J98"")"),0.0)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IFERROR(__xludf.DUMMYFUNCTION("IMPORTRANGE(""https://docs.google.com/spreadsheets/d/1SX6NBoVAgQJ6U1MVXOaj8PK2l7WJ3RER9xtqwdhxkhw/edit?usp=sharing"",""พระนครศรีอยุธยา!J99"")"),0.0)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IFERROR(__xludf.DUMMYFUNCTION("IMPORTRANGE(""https://docs.google.com/spreadsheets/d/1SX6NBoVAgQJ6U1MVXOaj8PK2l7WJ3RER9xtqwdhxkhw/edit?usp=sharing"",""พระนครศรีอยุธยา!J100"")"),0.0)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IFERROR(__xludf.DUMMYFUNCTION("IMPORTRANGE(""https://docs.google.com/spreadsheets/d/1SX6NBoVAgQJ6U1MVXOaj8PK2l7WJ3RER9xtqwdhxkhw/edit?usp=sharing"",""พระนครศรีอยุธยา!I101"")"),0.0)</f>
        <v>0</v>
      </c>
      <c r="J176" s="317">
        <f>IFERROR(__xludf.DUMMYFUNCTION("IMPORTRANGE(""https://docs.google.com/spreadsheets/d/1SX6NBoVAgQJ6U1MVXOaj8PK2l7WJ3RER9xtqwdhxkhw/edit?usp=sharing"",""พระนครศรีอยุธยา!J101"")"),0.0)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IFERROR(__xludf.DUMMYFUNCTION("IMPORTRANGE(""https://docs.google.com/spreadsheets/d/1SX6NBoVAgQJ6U1MVXOaj8PK2l7WJ3RER9xtqwdhxkhw/edit?usp=sharing"",""พระนครศรีอยุธยา!J106"")"),0.0)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IFERROR(__xludf.DUMMYFUNCTION("IMPORTRANGE(""https://docs.google.com/spreadsheets/d/1SX6NBoVAgQJ6U1MVXOaj8PK2l7WJ3RER9xtqwdhxkhw/edit?usp=sharing"",""พระนครศรีอยุธยา!J107"")"),0.0)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IFERROR(__xludf.DUMMYFUNCTION("IMPORTRANGE(""https://docs.google.com/spreadsheets/d/1SX6NBoVAgQJ6U1MVXOaj8PK2l7WJ3RER9xtqwdhxkhw/edit?usp=sharing"",""พระนครศรีอยุธยา!J108"")"),0.0)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IFERROR(__xludf.DUMMYFUNCTION("IMPORTRANGE(""https://docs.google.com/spreadsheets/d/1SX6NBoVAgQJ6U1MVXOaj8PK2l7WJ3RER9xtqwdhxkhw/edit?usp=sharing"",""พระนครศรีอยุธยา!J109"")"),0.0)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IFERROR(__xludf.DUMMYFUNCTION("IMPORTRANGE(""https://docs.google.com/spreadsheets/d/1SX6NBoVAgQJ6U1MVXOaj8PK2l7WJ3RER9xtqwdhxkhw/edit?usp=sharing"",""พระนครศรีอยุธยา!I110"")"),0.0)</f>
        <v>0</v>
      </c>
      <c r="J185" s="238">
        <f>IFERROR(__xludf.DUMMYFUNCTION("IMPORTRANGE(""https://docs.google.com/spreadsheets/d/1SX6NBoVAgQJ6U1MVXOaj8PK2l7WJ3RER9xtqwdhxkhw/edit?usp=sharing"",""พระนครศรีอยุธยา!J110"")"),0.0)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IFERROR(__xludf.DUMMYFUNCTION("IMPORTRANGE(""https://docs.google.com/spreadsheets/d/1SX6NBoVAgQJ6U1MVXOaj8PK2l7WJ3RER9xtqwdhxkhw/edit?usp=sharing"",""พระนครศรีอยุธยา!I111"")"),0.0)</f>
        <v>0</v>
      </c>
      <c r="J186" s="238">
        <f>IFERROR(__xludf.DUMMYFUNCTION("IMPORTRANGE(""https://docs.google.com/spreadsheets/d/1SX6NBoVAgQJ6U1MVXOaj8PK2l7WJ3RER9xtqwdhxkhw/edit?usp=sharing"",""พระนครศรีอยุธยา!J111"")"),0.0)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IFERROR(__xludf.DUMMYFUNCTION("IMPORTRANGE(""https://docs.google.com/spreadsheets/d/1SX6NBoVAgQJ6U1MVXOaj8PK2l7WJ3RER9xtqwdhxkhw/edit?usp=sharing"",""พระนครศรีอยุธยา!J112"")"),0.0)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IFERROR(__xludf.DUMMYFUNCTION("IMPORTRANGE(""https://docs.google.com/spreadsheets/d/1SX6NBoVAgQJ6U1MVXOaj8PK2l7WJ3RER9xtqwdhxkhw/edit?usp=sharing"",""พระนครศรีอยุธยา!J113"")"),0.0)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IFERROR(__xludf.DUMMYFUNCTION("IMPORTRANGE(""https://docs.google.com/spreadsheets/d/1SX6NBoVAgQJ6U1MVXOaj8PK2l7WJ3RER9xtqwdhxkhw/edit?usp=sharing"",""พระนครศรีอยุธยา!I114"")"),20000.0)</f>
        <v>20000</v>
      </c>
      <c r="J189" s="317">
        <f>IFERROR(__xludf.DUMMYFUNCTION("IMPORTRANGE(""https://docs.google.com/spreadsheets/d/1SX6NBoVAgQJ6U1MVXOaj8PK2l7WJ3RER9xtqwdhxkhw/edit?usp=sharing"",""พระนครศรีอยุธยา!J114"")"),0.0)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IFERROR(__xludf.DUMMYFUNCTION("IMPORTRANGE(""https://docs.google.com/spreadsheets/d/1SX6NBoVAgQJ6U1MVXOaj8PK2l7WJ3RER9xtqwdhxkhw/edit?usp=sharing"",""พระนครศรีอยุธยา!J119"")"),0.0)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IFERROR(__xludf.DUMMYFUNCTION("IMPORTRANGE(""https://docs.google.com/spreadsheets/d/1SX6NBoVAgQJ6U1MVXOaj8PK2l7WJ3RER9xtqwdhxkhw/edit?usp=sharing"",""พระนครศรีอยุธยา!J120"")"),1.0)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IFERROR(__xludf.DUMMYFUNCTION("IMPORTRANGE(""https://docs.google.com/spreadsheets/d/1SX6NBoVAgQJ6U1MVXOaj8PK2l7WJ3RER9xtqwdhxkhw/edit?usp=sharing"",""พระนครศรีอยุธยา!J121"")"),0.0)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IFERROR(__xludf.DUMMYFUNCTION("IMPORTRANGE(""https://docs.google.com/spreadsheets/d/1SX6NBoVAgQJ6U1MVXOaj8PK2l7WJ3RER9xtqwdhxkhw/edit?usp=sharing"",""พระนครศรีอยุธยา!J122"")"),0.0)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IFERROR(__xludf.DUMMYFUNCTION("IMPORTRANGE(""https://docs.google.com/spreadsheets/d/1SX6NBoVAgQJ6U1MVXOaj8PK2l7WJ3RER9xtqwdhxkhw/edit?usp=sharing"",""พระนครศรีอยุธยา!I124"")"),20000.0)</f>
        <v>20000</v>
      </c>
      <c r="J199" s="223">
        <f>IFERROR(__xludf.DUMMYFUNCTION("IMPORTRANGE(""https://docs.google.com/spreadsheets/d/1SX6NBoVAgQJ6U1MVXOaj8PK2l7WJ3RER9xtqwdhxkhw/edit?usp=sharing"",""พระนครศรีอยุธยา!J124"")"),0.0)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IFERROR(__xludf.DUMMYFUNCTION("IMPORTRANGE(""https://docs.google.com/spreadsheets/d/1SX6NBoVAgQJ6U1MVXOaj8PK2l7WJ3RER9xtqwdhxkhw/edit?usp=sharing"",""พระนครศรีอยุธยา!I125"")"),20000.0)</f>
        <v>20000</v>
      </c>
      <c r="J200" s="223">
        <f>IFERROR(__xludf.DUMMYFUNCTION("IMPORTRANGE(""https://docs.google.com/spreadsheets/d/1SX6NBoVAgQJ6U1MVXOaj8PK2l7WJ3RER9xtqwdhxkhw/edit?usp=sharing"",""พระนครศรีอยุธยา!J125"")"),0.0)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IFERROR(__xludf.DUMMYFUNCTION("IMPORTRANGE(""https://docs.google.com/spreadsheets/d/1SX6NBoVAgQJ6U1MVXOaj8PK2l7WJ3RER9xtqwdhxkhw/edit?usp=sharing"",""พระนครศรีอยุธยา!I126"")"),0.0)</f>
        <v>0</v>
      </c>
      <c r="J201" s="223">
        <f>IFERROR(__xludf.DUMMYFUNCTION("IMPORTRANGE(""https://docs.google.com/spreadsheets/d/1SX6NBoVAgQJ6U1MVXOaj8PK2l7WJ3RER9xtqwdhxkhw/edit?usp=sharing"",""พระนครศรีอยุธยา!J126"")"),0.0)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IFERROR(__xludf.DUMMYFUNCTION("IMPORTRANGE(""https://docs.google.com/spreadsheets/d/1SX6NBoVAgQJ6U1MVXOaj8PK2l7WJ3RER9xtqwdhxkhw/edit?usp=sharing"",""พระนครศรีอยุธยา!J127"")"),0.0)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IFERROR(__xludf.DUMMYFUNCTION("IMPORTRANGE(""https://docs.google.com/spreadsheets/d/1SX6NBoVAgQJ6U1MVXOaj8PK2l7WJ3RER9xtqwdhxkhw/edit?usp=sharing"",""พระนครศรีอยุธยา!J128"")"),0.0)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IFERROR(__xludf.DUMMYFUNCTION("IMPORTRANGE(""https://docs.google.com/spreadsheets/d/1SX6NBoVAgQJ6U1MVXOaj8PK2l7WJ3RER9xtqwdhxkhw/edit?usp=sharing"",""พระนครศรีอยุธยา!I129"")"),40.0)</f>
        <v>40</v>
      </c>
      <c r="J204" s="317">
        <f>IFERROR(__xludf.DUMMYFUNCTION("IMPORTRANGE(""https://docs.google.com/spreadsheets/d/1SX6NBoVAgQJ6U1MVXOaj8PK2l7WJ3RER9xtqwdhxkhw/edit?usp=sharing"",""พระนครศรีอยุธยา!J129"")"),40.0)</f>
        <v>40</v>
      </c>
      <c r="K204" s="318">
        <f>IF(I204&gt;0,J204*100/I204,0)</f>
        <v>100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IFERROR(__xludf.DUMMYFUNCTION("IMPORTRANGE(""https://docs.google.com/spreadsheets/d/1SX6NBoVAgQJ6U1MVXOaj8PK2l7WJ3RER9xtqwdhxkhw/edit?usp=sharing"",""พระนครศรีอยุธยา!J134"")"),0.0)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IFERROR(__xludf.DUMMYFUNCTION("IMPORTRANGE(""https://docs.google.com/spreadsheets/d/1SX6NBoVAgQJ6U1MVXOaj8PK2l7WJ3RER9xtqwdhxkhw/edit?usp=sharing"",""พระนครศรีอยุธยา!J135"")"),1.0)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IFERROR(__xludf.DUMMYFUNCTION("IMPORTRANGE(""https://docs.google.com/spreadsheets/d/1SX6NBoVAgQJ6U1MVXOaj8PK2l7WJ3RER9xtqwdhxkhw/edit?usp=sharing"",""พระนครศรีอยุธยา!J136"")"),1.0)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IFERROR(__xludf.DUMMYFUNCTION("IMPORTRANGE(""https://docs.google.com/spreadsheets/d/1SX6NBoVAgQJ6U1MVXOaj8PK2l7WJ3RER9xtqwdhxkhw/edit?usp=sharing"",""พระนครศรีอยุธยา!J137"")"),1.0)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IFERROR(__xludf.DUMMYFUNCTION("IMPORTRANGE(""https://docs.google.com/spreadsheets/d/1SX6NBoVAgQJ6U1MVXOaj8PK2l7WJ3RER9xtqwdhxkhw/edit?usp=sharing"",""พระนครศรีอยุธยา!I138"")"),40.0)</f>
        <v>40</v>
      </c>
      <c r="J213" s="238">
        <f>IFERROR(__xludf.DUMMYFUNCTION("IMPORTRANGE(""https://docs.google.com/spreadsheets/d/1SX6NBoVAgQJ6U1MVXOaj8PK2l7WJ3RER9xtqwdhxkhw/edit?usp=sharing"",""พระนครศรีอยุธยา!J138"")"),40.0)</f>
        <v>40</v>
      </c>
      <c r="K213" s="258">
        <f>IF(I213&gt;0,J213*100/I213,0)</f>
        <v>100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IFERROR(__xludf.DUMMYFUNCTION("IMPORTRANGE(""https://docs.google.com/spreadsheets/d/1SX6NBoVAgQJ6U1MVXOaj8PK2l7WJ3RER9xtqwdhxkhw/edit?usp=sharing"",""พระนครศรีอยุธยา!I140"")"),0.0)</f>
        <v>0</v>
      </c>
      <c r="J215" s="238">
        <f>IFERROR(__xludf.DUMMYFUNCTION("IMPORTRANGE(""https://docs.google.com/spreadsheets/d/1SX6NBoVAgQJ6U1MVXOaj8PK2l7WJ3RER9xtqwdhxkhw/edit?usp=sharing"",""พระนครศรีอยุธยา!J140"")"),0.0)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IFERROR(__xludf.DUMMYFUNCTION("IMPORTRANGE(""https://docs.google.com/spreadsheets/d/1SX6NBoVAgQJ6U1MVXOaj8PK2l7WJ3RER9xtqwdhxkhw/edit?usp=sharing"",""พระนครศรีอยุธยา!I141"")"),1.0)</f>
        <v>1</v>
      </c>
      <c r="J216" s="238">
        <f>IFERROR(__xludf.DUMMYFUNCTION("IMPORTRANGE(""https://docs.google.com/spreadsheets/d/1SX6NBoVAgQJ6U1MVXOaj8PK2l7WJ3RER9xtqwdhxkhw/edit?usp=sharing"",""พระนครศรีอยุธยา!J141"")"),0.0)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IFERROR(__xludf.DUMMYFUNCTION("IMPORTRANGE(""https://docs.google.com/spreadsheets/d/1SX6NBoVAgQJ6U1MVXOaj8PK2l7WJ3RER9xtqwdhxkhw/edit?usp=sharing"",""พระนครศรีอยุธยา!J142"")"),0.0)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IFERROR(__xludf.DUMMYFUNCTION("IMPORTRANGE(""https://docs.google.com/spreadsheets/d/1SX6NBoVAgQJ6U1MVXOaj8PK2l7WJ3RER9xtqwdhxkhw/edit?usp=sharing"",""พระนครศรีอยุธยา!J143"")"),0.0)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IFERROR(__xludf.DUMMYFUNCTION("IMPORTRANGE(""https://docs.google.com/spreadsheets/d/1SX6NBoVAgQJ6U1MVXOaj8PK2l7WJ3RER9xtqwdhxkhw/edit?usp=sharing"",""พระนครศรีอยุธยา!I144"")"),15.0)</f>
        <v>15</v>
      </c>
      <c r="J219" s="301">
        <f>IFERROR(__xludf.DUMMYFUNCTION("IMPORTRANGE(""https://docs.google.com/spreadsheets/d/1SX6NBoVAgQJ6U1MVXOaj8PK2l7WJ3RER9xtqwdhxkhw/edit?usp=sharing"",""พระนครศรีอยุธยา!J144"")"),22.0)</f>
        <v>22</v>
      </c>
      <c r="K219" s="302">
        <f>IF(I219&gt;0,J219*100/I219,0)</f>
        <v>146.6666667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20698</v>
      </c>
      <c r="O220" s="182">
        <f t="shared" ref="O220:O222" si="75">IF(L220&gt;0,N220*100/L220,0)</f>
        <v>97.97869822</v>
      </c>
      <c r="P220" s="182">
        <f t="shared" ref="P220:P222" si="76">IF(M220&gt;0,N220*100/M220,0)</f>
        <v>97.97869822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20698</v>
      </c>
      <c r="O222" s="187">
        <f t="shared" si="75"/>
        <v>97.97869822</v>
      </c>
      <c r="P222" s="187">
        <f t="shared" si="76"/>
        <v>97.97869822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0">
        <f>IFERROR(__xludf.DUMMYFUNCTION("IMPORTRANGE(""https://docs.google.com/spreadsheets/d/1Yj_ptqi66GCucihVvJfMjLAmec39IyEx_6qawtMGysU/edit?usp=sharing"",""สบก!BS70"")"),21125.0)</f>
        <v>21125</v>
      </c>
      <c r="N224" s="203">
        <f>IFERROR(__xludf.DUMMYFUNCTION("IMPORTRANGE(""https://docs.google.com/spreadsheets/d/1Yj_ptqi66GCucihVvJfMjLAmec39IyEx_6qawtMGysU/edit?usp=sharing"",""สบก!BT70"")"),20698.0)</f>
        <v>20698</v>
      </c>
      <c r="O224" s="203">
        <f>IF(L224&gt;0,N224*100/L224,0)</f>
        <v>97.97869822</v>
      </c>
      <c r="P224" s="203">
        <f>IF(M224&gt;0,N224*100/M224,0)</f>
        <v>97.97869822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IFERROR(__xludf.DUMMYFUNCTION("IMPORTRANGE(""https://docs.google.com/spreadsheets/d/1Yj_ptqi66GCucihVvJfMjLAmec39IyEx_6qawtMGysU/edit?usp=sharing"",""สบก!BO70"")"),0.0)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IFERROR(__xludf.DUMMYFUNCTION("IMPORTRANGE(""https://docs.google.com/spreadsheets/d/1Yj_ptqi66GCucihVvJfMjLAmec39IyEx_6qawtMGysU/edit?usp=sharing"",""สบก!BP70"")"),21125.0)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IFERROR(__xludf.DUMMYFUNCTION("IMPORTRANGE(""https://docs.google.com/spreadsheets/d/1Yj_ptqi66GCucihVvJfMjLAmec39IyEx_6qawtMGysU/edit?usp=sharing"",""สบก!BQ70"")"),0.0)</f>
        <v>0</v>
      </c>
      <c r="M228" s="70"/>
      <c r="N228" s="70">
        <f>IFERROR(__xludf.DUMMYFUNCTION("IMPORTRANGE(""https://docs.google.com/spreadsheets/d/1Yj_ptqi66GCucihVvJfMjLAmec39IyEx_6qawtMGysU/edit?usp=sharing"",""สบก!BU70"")"),0.0)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IFERROR(__xludf.DUMMYFUNCTION("IMPORTRANGE(""https://docs.google.com/spreadsheets/d/1SX6NBoVAgQJ6U1MVXOaj8PK2l7WJ3RER9xtqwdhxkhw/edit?usp=sharing"",""พระนครศรีอยุธยา!I149"")"),15.0)</f>
        <v>15</v>
      </c>
      <c r="J229" s="301">
        <f>IFERROR(__xludf.DUMMYFUNCTION("IMPORTRANGE(""https://docs.google.com/spreadsheets/d/1SX6NBoVAgQJ6U1MVXOaj8PK2l7WJ3RER9xtqwdhxkhw/edit?usp=sharing"",""พระนครศรีอยุธยา!J149"")"),22.0)</f>
        <v>22</v>
      </c>
      <c r="K229" s="302">
        <f>IF(I229&gt;0,J229*100/I229,0)</f>
        <v>146.6666667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IFERROR(__xludf.DUMMYFUNCTION("IMPORTRANGE(""https://docs.google.com/spreadsheets/d/1SX6NBoVAgQJ6U1MVXOaj8PK2l7WJ3RER9xtqwdhxkhw/edit?usp=sharing"",""พระนครศรีอยุธยา!J151"")"),0.0)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IFERROR(__xludf.DUMMYFUNCTION("IMPORTRANGE(""https://docs.google.com/spreadsheets/d/1SX6NBoVAgQJ6U1MVXOaj8PK2l7WJ3RER9xtqwdhxkhw/edit?usp=sharing"",""พระนครศรีอยุธยา!J152"")"),1.0)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IFERROR(__xludf.DUMMYFUNCTION("IMPORTRANGE(""https://docs.google.com/spreadsheets/d/1SX6NBoVAgQJ6U1MVXOaj8PK2l7WJ3RER9xtqwdhxkhw/edit?usp=sharing"",""พระนครศรีอยุธยา!J153"")"),1.0)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IFERROR(__xludf.DUMMYFUNCTION("IMPORTRANGE(""https://docs.google.com/spreadsheets/d/1SX6NBoVAgQJ6U1MVXOaj8PK2l7WJ3RER9xtqwdhxkhw/edit?usp=sharing"",""พระนครศรีอยุธยา!J154"")"),1.0)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IFERROR(__xludf.DUMMYFUNCTION("IMPORTRANGE(""https://docs.google.com/spreadsheets/d/1SX6NBoVAgQJ6U1MVXOaj8PK2l7WJ3RER9xtqwdhxkhw/edit?usp=sharing"",""พระนครศรีอยุธยา!I155"")"),15.0)</f>
        <v>15</v>
      </c>
      <c r="J235" s="223">
        <f>IFERROR(__xludf.DUMMYFUNCTION("IMPORTRANGE(""https://docs.google.com/spreadsheets/d/1SX6NBoVAgQJ6U1MVXOaj8PK2l7WJ3RER9xtqwdhxkhw/edit?usp=sharing"",""พระนครศรีอยุธยา!J155"")"),22.0)</f>
        <v>22</v>
      </c>
      <c r="K235" s="196">
        <f>IF(I235&gt;0,J235*100/I235,0)</f>
        <v>146.6666667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IFERROR(__xludf.DUMMYFUNCTION("IMPORTRANGE(""https://docs.google.com/spreadsheets/d/1SX6NBoVAgQJ6U1MVXOaj8PK2l7WJ3RER9xtqwdhxkhw/edit?usp=sharing"",""พระนครศรีอยุธยา!J156"")"),1.0)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IFERROR(__xludf.DUMMYFUNCTION("IMPORTRANGE(""https://docs.google.com/spreadsheets/d/1SX6NBoVAgQJ6U1MVXOaj8PK2l7WJ3RER9xtqwdhxkhw/edit?usp=sharing"",""พระนครศรีอยุธยา!J157"")"),0.0)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IFERROR(__xludf.DUMMYFUNCTION("IMPORTRANGE(""https://docs.google.com/spreadsheets/d/1SX6NBoVAgQJ6U1MVXOaj8PK2l7WJ3RER9xtqwdhxkhw/edit?usp=sharing"",""พระนครศรีอยุธยา!I158"")"),0.0)</f>
        <v>0</v>
      </c>
      <c r="J238" s="301">
        <f>IFERROR(__xludf.DUMMYFUNCTION("IMPORTRANGE(""https://docs.google.com/spreadsheets/d/1SX6NBoVAgQJ6U1MVXOaj8PK2l7WJ3RER9xtqwdhxkhw/edit?usp=sharing"",""พระนครศรีอยุธยา!J158"")"),0.0)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IFERROR(__xludf.DUMMYFUNCTION("IMPORTRANGE(""https://docs.google.com/spreadsheets/d/1SX6NBoVAgQJ6U1MVXOaj8PK2l7WJ3RER9xtqwdhxkhw/edit?usp=sharing"",""พระนครศรีอยุธยา!J159"")"),"")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IFERROR(__xludf.DUMMYFUNCTION("IMPORTRANGE(""https://docs.google.com/spreadsheets/d/1SX6NBoVAgQJ6U1MVXOaj8PK2l7WJ3RER9xtqwdhxkhw/edit?usp=sharing"",""พระนครศรีอยุธยา!J161"")"),0.0)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IFERROR(__xludf.DUMMYFUNCTION("IMPORTRANGE(""https://docs.google.com/spreadsheets/d/1SX6NBoVAgQJ6U1MVXOaj8PK2l7WJ3RER9xtqwdhxkhw/edit?usp=sharing"",""พระนครศรีอยุธยา!J162"")"),0.0)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IFERROR(__xludf.DUMMYFUNCTION("IMPORTRANGE(""https://docs.google.com/spreadsheets/d/1SX6NBoVAgQJ6U1MVXOaj8PK2l7WJ3RER9xtqwdhxkhw/edit?usp=sharing"",""พระนครศรีอยุธยา!J163"")"),0.0)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IFERROR(__xludf.DUMMYFUNCTION("IMPORTRANGE(""https://docs.google.com/spreadsheets/d/1SX6NBoVAgQJ6U1MVXOaj8PK2l7WJ3RER9xtqwdhxkhw/edit?usp=sharing"",""พระนครศรีอยุธยา!I164"")"),0.0)</f>
        <v>0</v>
      </c>
      <c r="J244" s="222">
        <f>IFERROR(__xludf.DUMMYFUNCTION("IMPORTRANGE(""https://docs.google.com/spreadsheets/d/1SX6NBoVAgQJ6U1MVXOaj8PK2l7WJ3RER9xtqwdhxkhw/edit?usp=sharing"",""พระนครศรีอยุธยา!J164"")"),0.0)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IFERROR(__xludf.DUMMYFUNCTION("IMPORTRANGE(""https://docs.google.com/spreadsheets/d/1SX6NBoVAgQJ6U1MVXOaj8PK2l7WJ3RER9xtqwdhxkhw/edit?usp=sharing"",""พระนครศรีอยุธยา!J165"")"),0.0)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IFERROR(__xludf.DUMMYFUNCTION("IMPORTRANGE(""https://docs.google.com/spreadsheets/d/1SX6NBoVAgQJ6U1MVXOaj8PK2l7WJ3RER9xtqwdhxkhw/edit?usp=sharing"",""พระนครศรีอยุธยา!J166"")"),0.0)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IFERROR(__xludf.DUMMYFUNCTION("IMPORTRANGE(""https://docs.google.com/spreadsheets/d/1SX6NBoVAgQJ6U1MVXOaj8PK2l7WJ3RER9xtqwdhxkhw/edit?usp=sharing"",""พระนครศรีอยุธยา!I169"")"),0.0)</f>
        <v>0</v>
      </c>
      <c r="J249" s="349">
        <f>IFERROR(__xludf.DUMMYFUNCTION("IMPORTRANGE(""https://docs.google.com/spreadsheets/d/1SX6NBoVAgQJ6U1MVXOaj8PK2l7WJ3RER9xtqwdhxkhw/edit?usp=sharing"",""พระนครศรีอยุธยา!J169"")"),0.0)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IFERROR(__xludf.DUMMYFUNCTION("IMPORTRANGE(""https://docs.google.com/spreadsheets/d/1Yj_ptqi66GCucihVvJfMjLAmec39IyEx_6qawtMGysU/edit?usp=sharing"",""สบก!CB70"")"),0.0)</f>
        <v>0</v>
      </c>
      <c r="N254" s="203">
        <f>IFERROR(__xludf.DUMMYFUNCTION("IMPORTRANGE(""https://docs.google.com/spreadsheets/d/1Yj_ptqi66GCucihVvJfMjLAmec39IyEx_6qawtMGysU/edit?usp=sharing"",""สบก!CC70"")"),0.0)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IFERROR(__xludf.DUMMYFUNCTION("IMPORTRANGE(""https://docs.google.com/spreadsheets/d/1Yj_ptqi66GCucihVvJfMjLAmec39IyEx_6qawtMGysU/edit?usp=sharing"",""สบก!BX70"")"),0.0)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IFERROR(__xludf.DUMMYFUNCTION("IMPORTRANGE(""https://docs.google.com/spreadsheets/d/1Yj_ptqi66GCucihVvJfMjLAmec39IyEx_6qawtMGysU/edit?usp=sharing"",""สบก!BY70"")"),0.0)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IFERROR(__xludf.DUMMYFUNCTION("IMPORTRANGE(""https://docs.google.com/spreadsheets/d/1Yj_ptqi66GCucihVvJfMjLAmec39IyEx_6qawtMGysU/edit?usp=sharing"",""สบก!BZ70"")"),0.0)</f>
        <v>0</v>
      </c>
      <c r="M258" s="70"/>
      <c r="N258" s="70">
        <f>IFERROR(__xludf.DUMMYFUNCTION("IMPORTRANGE(""https://docs.google.com/spreadsheets/d/1Yj_ptqi66GCucihVvJfMjLAmec39IyEx_6qawtMGysU/edit?usp=sharing"",""สบก!CD70"")"),0.0)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IFERROR(__xludf.DUMMYFUNCTION("IMPORTRANGE(""https://docs.google.com/spreadsheets/d/1SX6NBoVAgQJ6U1MVXOaj8PK2l7WJ3RER9xtqwdhxkhw/edit?usp=sharing"",""พระนครศรีอยุธยา!J175"")"),0.0)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IFERROR(__xludf.DUMMYFUNCTION("IMPORTRANGE(""https://docs.google.com/spreadsheets/d/1SX6NBoVAgQJ6U1MVXOaj8PK2l7WJ3RER9xtqwdhxkhw/edit?usp=sharing"",""พระนครศรีอยุธยา!J176"")"),0.0)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IFERROR(__xludf.DUMMYFUNCTION("IMPORTRANGE(""https://docs.google.com/spreadsheets/d/1SX6NBoVAgQJ6U1MVXOaj8PK2l7WJ3RER9xtqwdhxkhw/edit?usp=sharing"",""พระนครศรีอยุธยา!J177"")"),0.0)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IFERROR(__xludf.DUMMYFUNCTION("IMPORTRANGE(""https://docs.google.com/spreadsheets/d/1SX6NBoVAgQJ6U1MVXOaj8PK2l7WJ3RER9xtqwdhxkhw/edit?usp=sharing"",""พระนครศรีอยุธยา!J178"")"),0.0)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IFERROR(__xludf.DUMMYFUNCTION("IMPORTRANGE(""https://docs.google.com/spreadsheets/d/1SX6NBoVAgQJ6U1MVXOaj8PK2l7WJ3RER9xtqwdhxkhw/edit?usp=sharing"",""พระนครศรีอยุธยา!I179"")"),0.0)</f>
        <v>0</v>
      </c>
      <c r="J264" s="223">
        <f>IFERROR(__xludf.DUMMYFUNCTION("IMPORTRANGE(""https://docs.google.com/spreadsheets/d/1SX6NBoVAgQJ6U1MVXOaj8PK2l7WJ3RER9xtqwdhxkhw/edit?usp=sharing"",""พระนครศรีอยุธยา!J179"")"),0.0)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IFERROR(__xludf.DUMMYFUNCTION("IMPORTRANGE(""https://docs.google.com/spreadsheets/d/1SX6NBoVAgQJ6U1MVXOaj8PK2l7WJ3RER9xtqwdhxkhw/edit?usp=sharing"",""พระนครศรีอยุธยา!I180"")"),0.0)</f>
        <v>0</v>
      </c>
      <c r="J265" s="223">
        <f>IFERROR(__xludf.DUMMYFUNCTION("IMPORTRANGE(""https://docs.google.com/spreadsheets/d/1SX6NBoVAgQJ6U1MVXOaj8PK2l7WJ3RER9xtqwdhxkhw/edit?usp=sharing"",""พระนครศรีอยุธยา!J180"")"),0.0)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IFERROR(__xludf.DUMMYFUNCTION("IMPORTRANGE(""https://docs.google.com/spreadsheets/d/1SX6NBoVAgQJ6U1MVXOaj8PK2l7WJ3RER9xtqwdhxkhw/edit?usp=sharing"",""พระนครศรีอยุธยา!I181"")"),0.0)</f>
        <v>0</v>
      </c>
      <c r="J266" s="223">
        <f>IFERROR(__xludf.DUMMYFUNCTION("IMPORTRANGE(""https://docs.google.com/spreadsheets/d/1SX6NBoVAgQJ6U1MVXOaj8PK2l7WJ3RER9xtqwdhxkhw/edit?usp=sharing"",""พระนครศรีอยุธยา!J181"")"),0.0)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IFERROR(__xludf.DUMMYFUNCTION("IMPORTRANGE(""https://docs.google.com/spreadsheets/d/1SX6NBoVAgQJ6U1MVXOaj8PK2l7WJ3RER9xtqwdhxkhw/edit?usp=sharing"",""พระนครศรีอยุธยา!I182"")"),0.0)</f>
        <v>0</v>
      </c>
      <c r="J267" s="223">
        <f>IFERROR(__xludf.DUMMYFUNCTION("IMPORTRANGE(""https://docs.google.com/spreadsheets/d/1SX6NBoVAgQJ6U1MVXOaj8PK2l7WJ3RER9xtqwdhxkhw/edit?usp=sharing"",""พระนครศรีอยุธยา!J182"")"),0.0)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IFERROR(__xludf.DUMMYFUNCTION("IMPORTRANGE(""https://docs.google.com/spreadsheets/d/1SX6NBoVAgQJ6U1MVXOaj8PK2l7WJ3RER9xtqwdhxkhw/edit?usp=sharing"",""พระนครศรีอยุธยา!J183"")"),0.0)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IFERROR(__xludf.DUMMYFUNCTION("IMPORTRANGE(""https://docs.google.com/spreadsheets/d/1SX6NBoVAgQJ6U1MVXOaj8PK2l7WJ3RER9xtqwdhxkhw/edit?usp=sharing"",""พระนครศรีอยุธยา!J184"")"),0.0)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IFERROR(__xludf.DUMMYFUNCTION("IMPORTRANGE(""https://docs.google.com/spreadsheets/d/1SX6NBoVAgQJ6U1MVXOaj8PK2l7WJ3RER9xtqwdhxkhw/edit?usp=sharing"",""พระนครศรีอยุธยา!I185"")"),0.0)</f>
        <v>0</v>
      </c>
      <c r="J270" s="349">
        <f>IFERROR(__xludf.DUMMYFUNCTION("IMPORTRANGE(""https://docs.google.com/spreadsheets/d/1SX6NBoVAgQJ6U1MVXOaj8PK2l7WJ3RER9xtqwdhxkhw/edit?usp=sharing"",""พระนครศรีอยุธยา!J185"")"),0.0)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0">
        <f>IFERROR(__xludf.DUMMYFUNCTION("IMPORTRANGE(""https://docs.google.com/spreadsheets/d/1Yj_ptqi66GCucihVvJfMjLAmec39IyEx_6qawtMGysU/edit?usp=sharing"",""สบก!CK70"")"),0.0)</f>
        <v>0</v>
      </c>
      <c r="N275" s="203">
        <f>IFERROR(__xludf.DUMMYFUNCTION("IMPORTRANGE(""https://docs.google.com/spreadsheets/d/1Yj_ptqi66GCucihVvJfMjLAmec39IyEx_6qawtMGysU/edit?usp=sharing"",""สบก!CL70"")"),0.0)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IFERROR(__xludf.DUMMYFUNCTION("IMPORTRANGE(""https://docs.google.com/spreadsheets/d/1Yj_ptqi66GCucihVvJfMjLAmec39IyEx_6qawtMGysU/edit?usp=sharing"",""สบก!CG70"")"),0.0)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IFERROR(__xludf.DUMMYFUNCTION("IMPORTRANGE(""https://docs.google.com/spreadsheets/d/1Yj_ptqi66GCucihVvJfMjLAmec39IyEx_6qawtMGysU/edit?usp=sharing"",""สบก!CH70"")"),0.0)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IFERROR(__xludf.DUMMYFUNCTION("IMPORTRANGE(""https://docs.google.com/spreadsheets/d/1Yj_ptqi66GCucihVvJfMjLAmec39IyEx_6qawtMGysU/edit?usp=sharing"",""สบก!CI70"")"),0.0)</f>
        <v>0</v>
      </c>
      <c r="M279" s="70"/>
      <c r="N279" s="70">
        <f>IFERROR(__xludf.DUMMYFUNCTION("IMPORTRANGE(""https://docs.google.com/spreadsheets/d/1Yj_ptqi66GCucihVvJfMjLAmec39IyEx_6qawtMGysU/edit?usp=sharing"",""สบก!CM70"")"),0.0)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IFERROR(__xludf.DUMMYFUNCTION("IMPORTRANGE(""https://docs.google.com/spreadsheets/d/1SX6NBoVAgQJ6U1MVXOaj8PK2l7WJ3RER9xtqwdhxkhw/edit?usp=sharing"",""พระนครศรีอยุธยา!J191"")"),0.0)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IFERROR(__xludf.DUMMYFUNCTION("IMPORTRANGE(""https://docs.google.com/spreadsheets/d/1SX6NBoVAgQJ6U1MVXOaj8PK2l7WJ3RER9xtqwdhxkhw/edit?usp=sharing"",""พระนครศรีอยุธยา!J192"")"),0.0)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IFERROR(__xludf.DUMMYFUNCTION("IMPORTRANGE(""https://docs.google.com/spreadsheets/d/1SX6NBoVAgQJ6U1MVXOaj8PK2l7WJ3RER9xtqwdhxkhw/edit?usp=sharing"",""พระนครศรีอยุธยา!J193"")"),0.0)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IFERROR(__xludf.DUMMYFUNCTION("IMPORTRANGE(""https://docs.google.com/spreadsheets/d/1SX6NBoVAgQJ6U1MVXOaj8PK2l7WJ3RER9xtqwdhxkhw/edit?usp=sharing"",""พระนครศรีอยุธยา!J194"")"),0.0)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IFERROR(__xludf.DUMMYFUNCTION("IMPORTRANGE(""https://docs.google.com/spreadsheets/d/1SX6NBoVAgQJ6U1MVXOaj8PK2l7WJ3RER9xtqwdhxkhw/edit?usp=sharing"",""พระนครศรีอยุธยา!I195"")"),0.0)</f>
        <v>0</v>
      </c>
      <c r="J285" s="223">
        <f>IFERROR(__xludf.DUMMYFUNCTION("IMPORTRANGE(""https://docs.google.com/spreadsheets/d/1SX6NBoVAgQJ6U1MVXOaj8PK2l7WJ3RER9xtqwdhxkhw/edit?usp=sharing"",""พระนครศรีอยุธยา!J195"")"),0.0)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IFERROR(__xludf.DUMMYFUNCTION("IMPORTRANGE(""https://docs.google.com/spreadsheets/d/1SX6NBoVAgQJ6U1MVXOaj8PK2l7WJ3RER9xtqwdhxkhw/edit?usp=sharing"",""พระนครศรีอยุธยา!J196"")"),0.0)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IFERROR(__xludf.DUMMYFUNCTION("IMPORTRANGE(""https://docs.google.com/spreadsheets/d/1SX6NBoVAgQJ6U1MVXOaj8PK2l7WJ3RER9xtqwdhxkhw/edit?usp=sharing"",""พระนครศรีอยุธยา!J197"")"),0.0)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IFERROR(__xludf.DUMMYFUNCTION("IMPORTRANGE(""https://docs.google.com/spreadsheets/d/1SX6NBoVAgQJ6U1MVXOaj8PK2l7WJ3RER9xtqwdhxkhw/edit?usp=sharing"",""พระนครศรีอยุธยา!I199"")"),0.0)</f>
        <v>0</v>
      </c>
      <c r="J289" s="349">
        <f>IFERROR(__xludf.DUMMYFUNCTION("IMPORTRANGE(""https://docs.google.com/spreadsheets/d/1SX6NBoVAgQJ6U1MVXOaj8PK2l7WJ3RER9xtqwdhxkhw/edit?usp=sharing"",""พระนครศรีอยุธยา!J199"")"),0.0)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IFERROR(__xludf.DUMMYFUNCTION("IMPORTRANGE(""https://docs.google.com/spreadsheets/d/1Yj_ptqi66GCucihVvJfMjLAmec39IyEx_6qawtMGysU/edit?usp=sharing"",""สบก!CT70"")"),0.0)</f>
        <v>0</v>
      </c>
      <c r="N294" s="203">
        <f>IFERROR(__xludf.DUMMYFUNCTION("IMPORTRANGE(""https://docs.google.com/spreadsheets/d/1Yj_ptqi66GCucihVvJfMjLAmec39IyEx_6qawtMGysU/edit?usp=sharing"",""สบก!CU70"")"),0.0)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IFERROR(__xludf.DUMMYFUNCTION("IMPORTRANGE(""https://docs.google.com/spreadsheets/d/1Yj_ptqi66GCucihVvJfMjLAmec39IyEx_6qawtMGysU/edit?usp=sharing"",""สบก!CP70"")"),0.0)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IFERROR(__xludf.DUMMYFUNCTION("IMPORTRANGE(""https://docs.google.com/spreadsheets/d/1Yj_ptqi66GCucihVvJfMjLAmec39IyEx_6qawtMGysU/edit?usp=sharing"",""สบก!CQ70"")"),0.0)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IFERROR(__xludf.DUMMYFUNCTION("IMPORTRANGE(""https://docs.google.com/spreadsheets/d/1Yj_ptqi66GCucihVvJfMjLAmec39IyEx_6qawtMGysU/edit?usp=sharing"",""สบก!CR70"")"),0.0)</f>
        <v>0</v>
      </c>
      <c r="M298" s="70"/>
      <c r="N298" s="70">
        <f>IFERROR(__xludf.DUMMYFUNCTION("IMPORTRANGE(""https://docs.google.com/spreadsheets/d/1Yj_ptqi66GCucihVvJfMjLAmec39IyEx_6qawtMGysU/edit?usp=sharing"",""สบก!CV70"")"),0.0)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IFERROR(__xludf.DUMMYFUNCTION("IMPORTRANGE(""https://docs.google.com/spreadsheets/d/1SX6NBoVAgQJ6U1MVXOaj8PK2l7WJ3RER9xtqwdhxkhw/edit?usp=sharing"",""พระนครศรีอยุธยา!J205"")"),0.0)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IFERROR(__xludf.DUMMYFUNCTION("IMPORTRANGE(""https://docs.google.com/spreadsheets/d/1SX6NBoVAgQJ6U1MVXOaj8PK2l7WJ3RER9xtqwdhxkhw/edit?usp=sharing"",""พระนครศรีอยุธยา!J206"")"),0.0)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IFERROR(__xludf.DUMMYFUNCTION("IMPORTRANGE(""https://docs.google.com/spreadsheets/d/1SX6NBoVAgQJ6U1MVXOaj8PK2l7WJ3RER9xtqwdhxkhw/edit?usp=sharing"",""พระนครศรีอยุธยา!J207"")"),0.0)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IFERROR(__xludf.DUMMYFUNCTION("IMPORTRANGE(""https://docs.google.com/spreadsheets/d/1SX6NBoVAgQJ6U1MVXOaj8PK2l7WJ3RER9xtqwdhxkhw/edit?usp=sharing"",""พระนครศรีอยุธยา!J208"")"),0.0)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IFERROR(__xludf.DUMMYFUNCTION("IMPORTRANGE(""https://docs.google.com/spreadsheets/d/1SX6NBoVAgQJ6U1MVXOaj8PK2l7WJ3RER9xtqwdhxkhw/edit?usp=sharing"",""พระนครศรีอยุธยา!I209"")"),0.0)</f>
        <v>0</v>
      </c>
      <c r="J304" s="238">
        <f>IFERROR(__xludf.DUMMYFUNCTION("IMPORTRANGE(""https://docs.google.com/spreadsheets/d/1SX6NBoVAgQJ6U1MVXOaj8PK2l7WJ3RER9xtqwdhxkhw/edit?usp=sharing"",""พระนครศรีอยุธยา!J209"")"),0.0)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IFERROR(__xludf.DUMMYFUNCTION("IMPORTRANGE(""https://docs.google.com/spreadsheets/d/1SX6NBoVAgQJ6U1MVXOaj8PK2l7WJ3RER9xtqwdhxkhw/edit?usp=sharing"",""พระนครศรีอยุธยา!I211"")"),0.0)</f>
        <v>0</v>
      </c>
      <c r="J306" s="238">
        <f>IFERROR(__xludf.DUMMYFUNCTION("IMPORTRANGE(""https://docs.google.com/spreadsheets/d/1SX6NBoVAgQJ6U1MVXOaj8PK2l7WJ3RER9xtqwdhxkhw/edit?usp=sharing"",""พระนครศรีอยุธยา!J211"")"),0.0)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IFERROR(__xludf.DUMMYFUNCTION("IMPORTRANGE(""https://docs.google.com/spreadsheets/d/1SX6NBoVAgQJ6U1MVXOaj8PK2l7WJ3RER9xtqwdhxkhw/edit?usp=sharing"",""พระนครศรีอยุธยา!J212"")"),0.0)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IFERROR(__xludf.DUMMYFUNCTION("IMPORTRANGE(""https://docs.google.com/spreadsheets/d/1SX6NBoVAgQJ6U1MVXOaj8PK2l7WJ3RER9xtqwdhxkhw/edit?usp=sharing"",""พระนครศรีอยุธยา!J213"")"),0.0)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IFERROR(__xludf.DUMMYFUNCTION("IMPORTRANGE(""https://docs.google.com/spreadsheets/d/1SX6NBoVAgQJ6U1MVXOaj8PK2l7WJ3RER9xtqwdhxkhw/edit?usp=sharing"",""พระนครศรีอยุธยา!I214"")"),0.0)</f>
        <v>0</v>
      </c>
      <c r="J309" s="366">
        <f>IFERROR(__xludf.DUMMYFUNCTION("IMPORTRANGE(""https://docs.google.com/spreadsheets/d/1SX6NBoVAgQJ6U1MVXOaj8PK2l7WJ3RER9xtqwdhxkhw/edit?usp=sharing"",""พระนครศรีอยุธยา!J214"")"),0.0)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IFERROR(__xludf.DUMMYFUNCTION("IMPORTRANGE(""https://docs.google.com/spreadsheets/d/1Yj_ptqi66GCucihVvJfMjLAmec39IyEx_6qawtMGysU/edit?usp=sharing"",""สบก!DC70"")"),0.0)</f>
        <v>0</v>
      </c>
      <c r="N314" s="203">
        <f>IFERROR(__xludf.DUMMYFUNCTION("IMPORTRANGE(""https://docs.google.com/spreadsheets/d/1Yj_ptqi66GCucihVvJfMjLAmec39IyEx_6qawtMGysU/edit?usp=sharing"",""สบก!DD70"")"),0.0)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IFERROR(__xludf.DUMMYFUNCTION("IMPORTRANGE(""https://docs.google.com/spreadsheets/d/1Yj_ptqi66GCucihVvJfMjLAmec39IyEx_6qawtMGysU/edit?usp=sharing"",""สบก!CY70"")"),0.0)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IFERROR(__xludf.DUMMYFUNCTION("IMPORTRANGE(""https://docs.google.com/spreadsheets/d/1Yj_ptqi66GCucihVvJfMjLAmec39IyEx_6qawtMGysU/edit?usp=sharing"",""สบก!CZ70"")"),0.0)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IFERROR(__xludf.DUMMYFUNCTION("IMPORTRANGE(""https://docs.google.com/spreadsheets/d/1Yj_ptqi66GCucihVvJfMjLAmec39IyEx_6qawtMGysU/edit?usp=sharing"",""สบก!DA70"")"),0.0)</f>
        <v>0</v>
      </c>
      <c r="M318" s="70"/>
      <c r="N318" s="70">
        <f>IFERROR(__xludf.DUMMYFUNCTION("IMPORTRANGE(""https://docs.google.com/spreadsheets/d/1Yj_ptqi66GCucihVvJfMjLAmec39IyEx_6qawtMGysU/edit?usp=sharing"",""สบก!DE70"")"),0.0)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IFERROR(__xludf.DUMMYFUNCTION("IMPORTRANGE(""https://docs.google.com/spreadsheets/d/1SX6NBoVAgQJ6U1MVXOaj8PK2l7WJ3RER9xtqwdhxkhw/edit?usp=sharing"",""พระนครศรีอยุธยา!J220"")"),0.0)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IFERROR(__xludf.DUMMYFUNCTION("IMPORTRANGE(""https://docs.google.com/spreadsheets/d/1SX6NBoVAgQJ6U1MVXOaj8PK2l7WJ3RER9xtqwdhxkhw/edit?usp=sharing"",""พระนครศรีอยุธยา!J221"")"),0.0)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IFERROR(__xludf.DUMMYFUNCTION("IMPORTRANGE(""https://docs.google.com/spreadsheets/d/1SX6NBoVAgQJ6U1MVXOaj8PK2l7WJ3RER9xtqwdhxkhw/edit?usp=sharing"",""พระนครศรีอยุธยา!J222"")"),0.0)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IFERROR(__xludf.DUMMYFUNCTION("IMPORTRANGE(""https://docs.google.com/spreadsheets/d/1SX6NBoVAgQJ6U1MVXOaj8PK2l7WJ3RER9xtqwdhxkhw/edit?usp=sharing"",""พระนครศรีอยุธยา!J223"")"),0.0)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IFERROR(__xludf.DUMMYFUNCTION("IMPORTRANGE(""https://docs.google.com/spreadsheets/d/1SX6NBoVAgQJ6U1MVXOaj8PK2l7WJ3RER9xtqwdhxkhw/edit?usp=sharing"",""พระนครศรีอยุธยา!I224"")"),0.0)</f>
        <v>0</v>
      </c>
      <c r="J324" s="238">
        <f>IFERROR(__xludf.DUMMYFUNCTION("IMPORTRANGE(""https://docs.google.com/spreadsheets/d/1SX6NBoVAgQJ6U1MVXOaj8PK2l7WJ3RER9xtqwdhxkhw/edit?usp=sharing"",""พระนครศรีอยุธยา!J224"")"),0.0)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IFERROR(__xludf.DUMMYFUNCTION("IMPORTRANGE(""https://docs.google.com/spreadsheets/d/1SX6NBoVAgQJ6U1MVXOaj8PK2l7WJ3RER9xtqwdhxkhw/edit?usp=sharing"",""พระนครศรีอยุธยา!J225"")"),0.0)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IFERROR(__xludf.DUMMYFUNCTION("IMPORTRANGE(""https://docs.google.com/spreadsheets/d/1SX6NBoVAgQJ6U1MVXOaj8PK2l7WJ3RER9xtqwdhxkhw/edit?usp=sharing"",""พระนครศรีอยุธยา!J226"")"),0.0)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IFERROR(__xludf.DUMMYFUNCTION("IMPORTRANGE(""https://docs.google.com/spreadsheets/d/1SX6NBoVAgQJ6U1MVXOaj8PK2l7WJ3RER9xtqwdhxkhw/edit?usp=sharing"",""พระนครศรีอยุธยา!I228"")"),0.0)</f>
        <v>0</v>
      </c>
      <c r="J328" s="372">
        <f>IFERROR(__xludf.DUMMYFUNCTION("IMPORTRANGE(""https://docs.google.com/spreadsheets/d/1SX6NBoVAgQJ6U1MVXOaj8PK2l7WJ3RER9xtqwdhxkhw/edit?usp=sharing"",""พระนครศรีอยุธยา!J228"")"),0.0)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539310</v>
      </c>
      <c r="M329" s="183">
        <f t="shared" si="99"/>
        <v>243060</v>
      </c>
      <c r="N329" s="183">
        <f t="shared" si="99"/>
        <v>202603</v>
      </c>
      <c r="O329" s="182">
        <f t="shared" ref="O329:O331" si="101">IF(L329&gt;0,N329*100/L329,0)</f>
        <v>37.56707645</v>
      </c>
      <c r="P329" s="182">
        <f t="shared" ref="P329:P331" si="102">IF(M329&gt;0,N329*100/M329,0)</f>
        <v>83.35513865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539310</v>
      </c>
      <c r="M331" s="188">
        <f t="shared" si="103"/>
        <v>243060</v>
      </c>
      <c r="N331" s="188">
        <f t="shared" si="103"/>
        <v>202603</v>
      </c>
      <c r="O331" s="187">
        <f t="shared" si="101"/>
        <v>37.56707645</v>
      </c>
      <c r="P331" s="187">
        <f t="shared" si="102"/>
        <v>83.35513865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486110</v>
      </c>
      <c r="M333" s="200">
        <f>IFERROR(__xludf.DUMMYFUNCTION("IMPORTRANGE(""https://docs.google.com/spreadsheets/d/1Yj_ptqi66GCucihVvJfMjLAmec39IyEx_6qawtMGysU/edit?usp=sharing"",""สบก!DL70"")"),243060.0)</f>
        <v>243060</v>
      </c>
      <c r="N333" s="203">
        <f>IFERROR(__xludf.DUMMYFUNCTION("IMPORTRANGE(""https://docs.google.com/spreadsheets/d/1Yj_ptqi66GCucihVvJfMjLAmec39IyEx_6qawtMGysU/edit?usp=sharing"",""สบก!DM70"")"),149403.0)</f>
        <v>149403</v>
      </c>
      <c r="O333" s="203">
        <f>IF(L333&gt;0,N333*100/L333,0)</f>
        <v>30.73440168</v>
      </c>
      <c r="P333" s="203">
        <f>IF(M333&gt;0,N333*100/M333,0)</f>
        <v>61.46753888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IFERROR(__xludf.DUMMYFUNCTION("IMPORTRANGE(""https://docs.google.com/spreadsheets/d/1Yj_ptqi66GCucihVvJfMjLAmec39IyEx_6qawtMGysU/edit?usp=sharing"",""สบก!DH70"")"),306000.0)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IFERROR(__xludf.DUMMYFUNCTION("IMPORTRANGE(""https://docs.google.com/spreadsheets/d/1Yj_ptqi66GCucihVvJfMjLAmec39IyEx_6qawtMGysU/edit?usp=sharing"",""สบก!DI70"")"),180110.0)</f>
        <v>180110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IFERROR(__xludf.DUMMYFUNCTION("IMPORTRANGE(""https://docs.google.com/spreadsheets/d/1Yj_ptqi66GCucihVvJfMjLAmec39IyEx_6qawtMGysU/edit?usp=sharing"",""สบก!DJ70"")"),53200.0)</f>
        <v>53200</v>
      </c>
      <c r="M337" s="70"/>
      <c r="N337" s="70">
        <f>IFERROR(__xludf.DUMMYFUNCTION("IMPORTRANGE(""https://docs.google.com/spreadsheets/d/1Yj_ptqi66GCucihVvJfMjLAmec39IyEx_6qawtMGysU/edit?usp=sharing"",""สบก!DN70"")"),53200.0)</f>
        <v>53200</v>
      </c>
      <c r="O337" s="70">
        <f>IF(L337&gt;0,N337*100/L337,0)</f>
        <v>100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IFERROR(__xludf.DUMMYFUNCTION("IMPORTRANGE(""https://docs.google.com/spreadsheets/d/1SX6NBoVAgQJ6U1MVXOaj8PK2l7WJ3RER9xtqwdhxkhw/edit?usp=sharing"",""พระนครศรีอยุธยา!I234"")"),0.0)</f>
        <v>0</v>
      </c>
      <c r="J339" s="222">
        <f>IFERROR(__xludf.DUMMYFUNCTION("IMPORTRANGE(""https://docs.google.com/spreadsheets/d/1SX6NBoVAgQJ6U1MVXOaj8PK2l7WJ3RER9xtqwdhxkhw/edit?usp=sharing"",""พระนครศรีอยุธยา!J234"")"),0.0)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IFERROR(__xludf.DUMMYFUNCTION("IMPORTRANGE(""https://docs.google.com/spreadsheets/d/1SX6NBoVAgQJ6U1MVXOaj8PK2l7WJ3RER9xtqwdhxkhw/edit?usp=sharing"",""พระนครศรีอยุธยา!I235"")"),0.0)</f>
        <v>0</v>
      </c>
      <c r="J340" s="222">
        <f>IFERROR(__xludf.DUMMYFUNCTION("IMPORTRANGE(""https://docs.google.com/spreadsheets/d/1SX6NBoVAgQJ6U1MVXOaj8PK2l7WJ3RER9xtqwdhxkhw/edit?usp=sharing"",""พระนครศรีอยุธยา!J235"")"),0.0)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IFERROR(__xludf.DUMMYFUNCTION("IMPORTRANGE(""https://docs.google.com/spreadsheets/d/1SX6NBoVAgQJ6U1MVXOaj8PK2l7WJ3RER9xtqwdhxkhw/edit?usp=sharing"",""พระนครศรีอยุธยา!I236"")"),0.0)</f>
        <v>0</v>
      </c>
      <c r="J341" s="222">
        <f>IFERROR(__xludf.DUMMYFUNCTION("IMPORTRANGE(""https://docs.google.com/spreadsheets/d/1SX6NBoVAgQJ6U1MVXOaj8PK2l7WJ3RER9xtqwdhxkhw/edit?usp=sharing"",""พระนครศรีอยุธยา!J236"")"),0.0)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IFERROR(__xludf.DUMMYFUNCTION("IMPORTRANGE(""https://docs.google.com/spreadsheets/d/1SX6NBoVAgQJ6U1MVXOaj8PK2l7WJ3RER9xtqwdhxkhw/edit?usp=sharing"",""พระนครศรีอยุธยา!I237"")"),0.0)</f>
        <v>0</v>
      </c>
      <c r="J342" s="222">
        <f>IFERROR(__xludf.DUMMYFUNCTION("IMPORTRANGE(""https://docs.google.com/spreadsheets/d/1SX6NBoVAgQJ6U1MVXOaj8PK2l7WJ3RER9xtqwdhxkhw/edit?usp=sharing"",""พระนครศรีอยุธยา!J237"")"),0.0)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IFERROR(__xludf.DUMMYFUNCTION("IMPORTRANGE(""https://docs.google.com/spreadsheets/d/1SX6NBoVAgQJ6U1MVXOaj8PK2l7WJ3RER9xtqwdhxkhw/edit?usp=sharing"",""พระนครศรีอยุธยา!I238"")"),0.0)</f>
        <v>0</v>
      </c>
      <c r="J343" s="222">
        <f>IFERROR(__xludf.DUMMYFUNCTION("IMPORTRANGE(""https://docs.google.com/spreadsheets/d/1SX6NBoVAgQJ6U1MVXOaj8PK2l7WJ3RER9xtqwdhxkhw/edit?usp=sharing"",""พระนครศรีอยุธยา!J238"")"),0.0)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IFERROR(__xludf.DUMMYFUNCTION("IMPORTRANGE(""https://docs.google.com/spreadsheets/d/1SX6NBoVAgQJ6U1MVXOaj8PK2l7WJ3RER9xtqwdhxkhw/edit?usp=sharing"",""พระนครศรีอยุธยา!I239"")"),0.0)</f>
        <v>0</v>
      </c>
      <c r="J344" s="222">
        <f>IFERROR(__xludf.DUMMYFUNCTION("IMPORTRANGE(""https://docs.google.com/spreadsheets/d/1SX6NBoVAgQJ6U1MVXOaj8PK2l7WJ3RER9xtqwdhxkhw/edit?usp=sharing"",""พระนครศรีอยุธยา!J239"")"),0.0)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IFERROR(__xludf.DUMMYFUNCTION("IMPORTRANGE(""https://docs.google.com/spreadsheets/d/1SX6NBoVAgQJ6U1MVXOaj8PK2l7WJ3RER9xtqwdhxkhw/edit?usp=sharing"",""พระนครศรีอยุธยา!I240"")"),0.0)</f>
        <v>0</v>
      </c>
      <c r="J345" s="222">
        <f>IFERROR(__xludf.DUMMYFUNCTION("IMPORTRANGE(""https://docs.google.com/spreadsheets/d/1SX6NBoVAgQJ6U1MVXOaj8PK2l7WJ3RER9xtqwdhxkhw/edit?usp=sharing"",""พระนครศรีอยุธยา!J240"")"),0.0)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IFERROR(__xludf.DUMMYFUNCTION("IMPORTRANGE(""https://docs.google.com/spreadsheets/d/1SX6NBoVAgQJ6U1MVXOaj8PK2l7WJ3RER9xtqwdhxkhw/edit?usp=sharing"",""พระนครศรีอยุธยา!I241"")"),0.0)</f>
        <v>0</v>
      </c>
      <c r="J346" s="222">
        <f>IFERROR(__xludf.DUMMYFUNCTION("IMPORTRANGE(""https://docs.google.com/spreadsheets/d/1SX6NBoVAgQJ6U1MVXOaj8PK2l7WJ3RER9xtqwdhxkhw/edit?usp=sharing"",""พระนครศรีอยุธยา!J241"")"),0.0)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IFERROR(__xludf.DUMMYFUNCTION("IMPORTRANGE(""https://docs.google.com/spreadsheets/d/1SX6NBoVAgQJ6U1MVXOaj8PK2l7WJ3RER9xtqwdhxkhw/edit?usp=sharing"",""พระนครศรีอยุธยา!L242"")"),595847.0)</f>
        <v>595847</v>
      </c>
      <c r="M347" s="391"/>
      <c r="N347" s="391">
        <f>IFERROR(__xludf.DUMMYFUNCTION("IMPORTRANGE(""https://docs.google.com/spreadsheets/d/1SX6NBoVAgQJ6U1MVXOaj8PK2l7WJ3RER9xtqwdhxkhw/edit?usp=sharing"",""พระนครศรีอยุธยา!M242"")"),19304.0)</f>
        <v>19304</v>
      </c>
      <c r="O347" s="391">
        <f>+IF(L347&gt;0,N347*100/L347,0)</f>
        <v>3.239757857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IFERROR(__xludf.DUMMYFUNCTION("IMPORTRANGE(""https://docs.google.com/spreadsheets/d/1SX6NBoVAgQJ6U1MVXOaj8PK2l7WJ3RER9xtqwdhxkhw/edit?usp=sharing"",""พระนครศรีอยุธยา!I244"")"),0.0)</f>
        <v>0</v>
      </c>
      <c r="J349" s="404">
        <f>IFERROR(__xludf.DUMMYFUNCTION("IMPORTRANGE(""https://docs.google.com/spreadsheets/d/1SX6NBoVAgQJ6U1MVXOaj8PK2l7WJ3RER9xtqwdhxkhw/edit?usp=sharing"",""พระนครศรีอยุธยา!J244"")"),0.0)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IFERROR(__xludf.DUMMYFUNCTION("IMPORTRANGE(""https://docs.google.com/spreadsheets/d/1SX6NBoVAgQJ6U1MVXOaj8PK2l7WJ3RER9xtqwdhxkhw/edit?usp=sharing"",""พระนครศรีอยุธยา!L244"")"),0.0)</f>
        <v>0</v>
      </c>
      <c r="M349" s="406"/>
      <c r="N349" s="406">
        <f>IFERROR(__xludf.DUMMYFUNCTION("IMPORTRANGE(""https://docs.google.com/spreadsheets/d/1SX6NBoVAgQJ6U1MVXOaj8PK2l7WJ3RER9xtqwdhxkhw/edit?usp=sharing"",""พระนครศรีอยุธยา!M244"")"),0.0)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IFERROR(__xludf.DUMMYFUNCTION("IMPORTRANGE(""https://docs.google.com/spreadsheets/d/1SX6NBoVAgQJ6U1MVXOaj8PK2l7WJ3RER9xtqwdhxkhw/edit?usp=sharing"",""พระนครศรีอยุธยา!I245"")"),0.0)</f>
        <v>0</v>
      </c>
      <c r="J350" s="404">
        <f>IFERROR(__xludf.DUMMYFUNCTION("IMPORTRANGE(""https://docs.google.com/spreadsheets/d/1SX6NBoVAgQJ6U1MVXOaj8PK2l7WJ3RER9xtqwdhxkhw/edit?usp=sharing"",""พระนครศรีอยุธยา!J245"")"),0.0)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IFERROR(__xludf.DUMMYFUNCTION("IMPORTRANGE(""https://docs.google.com/spreadsheets/d/1SX6NBoVAgQJ6U1MVXOaj8PK2l7WJ3RER9xtqwdhxkhw/edit?usp=sharing"",""พระนครศรีอยุธยา!L246"")"),0.0)</f>
        <v>0</v>
      </c>
      <c r="M351" s="197"/>
      <c r="N351" s="197">
        <f>IFERROR(__xludf.DUMMYFUNCTION("IMPORTRANGE(""https://docs.google.com/spreadsheets/d/1SX6NBoVAgQJ6U1MVXOaj8PK2l7WJ3RER9xtqwdhxkhw/edit?usp=sharing"",""พระนครศรีอยุธยา!M246"")"),0.0)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IFERROR(__xludf.DUMMYFUNCTION("IMPORTRANGE(""https://docs.google.com/spreadsheets/d/1SX6NBoVAgQJ6U1MVXOaj8PK2l7WJ3RER9xtqwdhxkhw/edit?usp=sharing"",""พระนครศรีอยุธยา!L247"")"),0.0)</f>
        <v>0</v>
      </c>
      <c r="M352" s="198"/>
      <c r="N352" s="197">
        <f>IFERROR(__xludf.DUMMYFUNCTION("IMPORTRANGE(""https://docs.google.com/spreadsheets/d/1SX6NBoVAgQJ6U1MVXOaj8PK2l7WJ3RER9xtqwdhxkhw/edit?usp=sharing"",""พระนครศรีอยุธยา!M247"")"),0.0)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IFERROR(__xludf.DUMMYFUNCTION("IMPORTRANGE(""https://docs.google.com/spreadsheets/d/1SX6NBoVAgQJ6U1MVXOaj8PK2l7WJ3RER9xtqwdhxkhw/edit?usp=sharing"",""พระนครศรีอยุธยา!L248"")"),0.0)</f>
        <v>0</v>
      </c>
      <c r="M353" s="203"/>
      <c r="N353" s="203">
        <f>IFERROR(__xludf.DUMMYFUNCTION("IMPORTRANGE(""https://docs.google.com/spreadsheets/d/1SX6NBoVAgQJ6U1MVXOaj8PK2l7WJ3RER9xtqwdhxkhw/edit?usp=sharing"",""พระนครศรีอยุธยา!M248"")"),0.0)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IFERROR(__xludf.DUMMYFUNCTION("IMPORTRANGE(""https://docs.google.com/spreadsheets/d/1SX6NBoVAgQJ6U1MVXOaj8PK2l7WJ3RER9xtqwdhxkhw/edit?usp=sharing"",""พระนครศรีอยุธยา!L249"")"),0.0)</f>
        <v>0</v>
      </c>
      <c r="M354" s="203"/>
      <c r="N354" s="200">
        <f>IFERROR(__xludf.DUMMYFUNCTION("IMPORTRANGE(""https://docs.google.com/spreadsheets/d/1SX6NBoVAgQJ6U1MVXOaj8PK2l7WJ3RER9xtqwdhxkhw/edit?usp=sharing"",""พระนครศรีอยุธยา!M249"")"),0.0)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IFERROR(__xludf.DUMMYFUNCTION("IMPORTRANGE(""https://docs.google.com/spreadsheets/d/1SX6NBoVAgQJ6U1MVXOaj8PK2l7WJ3RER9xtqwdhxkhw/edit?usp=sharing"",""พระนครศรีอยุธยา!M250"")"),0.0)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IFERROR(__xludf.DUMMYFUNCTION("IMPORTRANGE(""https://docs.google.com/spreadsheets/d/1SX6NBoVAgQJ6U1MVXOaj8PK2l7WJ3RER9xtqwdhxkhw/edit?usp=sharing"",""พระนครศรีอยุธยา!M251"")"),0.0)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IFERROR(__xludf.DUMMYFUNCTION("IMPORTRANGE(""https://docs.google.com/spreadsheets/d/1SX6NBoVAgQJ6U1MVXOaj8PK2l7WJ3RER9xtqwdhxkhw/edit?usp=sharing"",""พระนครศรีอยุธยา!M252"")"),0.0)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IFERROR(__xludf.DUMMYFUNCTION("IMPORTRANGE(""https://docs.google.com/spreadsheets/d/1SX6NBoVAgQJ6U1MVXOaj8PK2l7WJ3RER9xtqwdhxkhw/edit?usp=sharing"",""พระนครศรีอยุธยา!M253"")"),0.0)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IFERROR(__xludf.DUMMYFUNCTION("IMPORTRANGE(""https://docs.google.com/spreadsheets/d/1SX6NBoVAgQJ6U1MVXOaj8PK2l7WJ3RER9xtqwdhxkhw/edit?usp=sharing"",""พระนครศรีอยุธยา!J255"")"),0.0)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IFERROR(__xludf.DUMMYFUNCTION("IMPORTRANGE(""https://docs.google.com/spreadsheets/d/1SX6NBoVAgQJ6U1MVXOaj8PK2l7WJ3RER9xtqwdhxkhw/edit?usp=sharing"",""พระนครศรีอยุธยา!J256"")"),0.0)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IFERROR(__xludf.DUMMYFUNCTION("IMPORTRANGE(""https://docs.google.com/spreadsheets/d/1SX6NBoVAgQJ6U1MVXOaj8PK2l7WJ3RER9xtqwdhxkhw/edit?usp=sharing"",""พระนครศรีอยุธยา!J257"")"),0.0)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IFERROR(__xludf.DUMMYFUNCTION("IMPORTRANGE(""https://docs.google.com/spreadsheets/d/1SX6NBoVAgQJ6U1MVXOaj8PK2l7WJ3RER9xtqwdhxkhw/edit?usp=sharing"",""พระนครศรีอยุธยา!J258"")"),0.0)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IFERROR(__xludf.DUMMYFUNCTION("IMPORTRANGE(""https://docs.google.com/spreadsheets/d/1SX6NBoVAgQJ6U1MVXOaj8PK2l7WJ3RER9xtqwdhxkhw/edit?usp=sharing"",""พระนครศรีอยุธยา!J166"")"),0.0)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IFERROR(__xludf.DUMMYFUNCTION("IMPORTRANGE(""https://docs.google.com/spreadsheets/d/1SX6NBoVAgQJ6U1MVXOaj8PK2l7WJ3RER9xtqwdhxkhw/edit?usp=sharing"",""พระนครศรีอยุธยา!J166"")"),0.0)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IFERROR(__xludf.DUMMYFUNCTION("IMPORTRANGE(""https://docs.google.com/spreadsheets/d/1SX6NBoVAgQJ6U1MVXOaj8PK2l7WJ3RER9xtqwdhxkhw/edit?usp=sharing"",""พระนครศรีอยุธยา!J166"")"),0.0)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IFERROR(__xludf.DUMMYFUNCTION("IMPORTRANGE(""https://docs.google.com/spreadsheets/d/1SX6NBoVAgQJ6U1MVXOaj8PK2l7WJ3RER9xtqwdhxkhw/edit?usp=sharing"",""พระนครศรีอยุธยา!J166"")"),0.0)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IFERROR(__xludf.DUMMYFUNCTION("IMPORTRANGE(""https://docs.google.com/spreadsheets/d/1SX6NBoVAgQJ6U1MVXOaj8PK2l7WJ3RER9xtqwdhxkhw/edit?usp=sharing"",""พระนครศรีอยุธยา!I263"")"),0.0)</f>
        <v>0</v>
      </c>
      <c r="J368" s="222">
        <f>IFERROR(__xludf.DUMMYFUNCTION("IMPORTRANGE(""https://docs.google.com/spreadsheets/d/1SX6NBoVAgQJ6U1MVXOaj8PK2l7WJ3RER9xtqwdhxkhw/edit?usp=sharing"",""พระนครศรีอยุธยา!J263"")"),0.0)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IFERROR(__xludf.DUMMYFUNCTION("IMPORTRANGE(""https://docs.google.com/spreadsheets/d/1SX6NBoVAgQJ6U1MVXOaj8PK2l7WJ3RER9xtqwdhxkhw/edit?usp=sharing"",""พระนครศรีอยุธยา!I164"")"),0.0)</f>
        <v>0</v>
      </c>
      <c r="J369" s="238">
        <f>IFERROR(__xludf.DUMMYFUNCTION("IMPORTRANGE(""https://docs.google.com/spreadsheets/d/1SX6NBoVAgQJ6U1MVXOaj8PK2l7WJ3RER9xtqwdhxkhw/edit?usp=sharing"",""พระนครศรีอยุธยา!J164"")"),0.0)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IFERROR(__xludf.DUMMYFUNCTION("IMPORTRANGE(""https://docs.google.com/spreadsheets/d/1SX6NBoVAgQJ6U1MVXOaj8PK2l7WJ3RER9xtqwdhxkhw/edit?usp=sharing"",""พระนครศรีอยุธยา!I265"")"),0.0)</f>
        <v>0</v>
      </c>
      <c r="J370" s="238">
        <f>IFERROR(__xludf.DUMMYFUNCTION("IMPORTRANGE(""https://docs.google.com/spreadsheets/d/1SX6NBoVAgQJ6U1MVXOaj8PK2l7WJ3RER9xtqwdhxkhw/edit?usp=sharing"",""พระนครศรีอยุธยา!J265"")"),0.0)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IFERROR(__xludf.DUMMYFUNCTION("IMPORTRANGE(""https://docs.google.com/spreadsheets/d/1SX6NBoVAgQJ6U1MVXOaj8PK2l7WJ3RER9xtqwdhxkhw/edit?usp=sharing"",""พระนครศรีอยุธยา!I164"")"),0.0)</f>
        <v>0</v>
      </c>
      <c r="J371" s="223">
        <f>IFERROR(__xludf.DUMMYFUNCTION("IMPORTRANGE(""https://docs.google.com/spreadsheets/d/1SX6NBoVAgQJ6U1MVXOaj8PK2l7WJ3RER9xtqwdhxkhw/edit?usp=sharing"",""พระนครศรีอยุธยา!J164"")"),0.0)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IFERROR(__xludf.DUMMYFUNCTION("IMPORTRANGE(""https://docs.google.com/spreadsheets/d/1SX6NBoVAgQJ6U1MVXOaj8PK2l7WJ3RER9xtqwdhxkhw/edit?usp=sharing"",""พระนครศรีอยุธยา!I267"")"),0.0)</f>
        <v>0</v>
      </c>
      <c r="J372" s="223">
        <f>IFERROR(__xludf.DUMMYFUNCTION("IMPORTRANGE(""https://docs.google.com/spreadsheets/d/1SX6NBoVAgQJ6U1MVXOaj8PK2l7WJ3RER9xtqwdhxkhw/edit?usp=sharing"",""พระนครศรีอยุธยา!J267"")"),0.0)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IFERROR(__xludf.DUMMYFUNCTION("IMPORTRANGE(""https://docs.google.com/spreadsheets/d/1SX6NBoVAgQJ6U1MVXOaj8PK2l7WJ3RER9xtqwdhxkhw/edit?usp=sharing"",""พระนครศรีอยุธยา!I164"")"),0.0)</f>
        <v>0</v>
      </c>
      <c r="J373" s="238">
        <f>IFERROR(__xludf.DUMMYFUNCTION("IMPORTRANGE(""https://docs.google.com/spreadsheets/d/1SX6NBoVAgQJ6U1MVXOaj8PK2l7WJ3RER9xtqwdhxkhw/edit?usp=sharing"",""พระนครศรีอยุธยา!J164"")"),0.0)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IFERROR(__xludf.DUMMYFUNCTION("IMPORTRANGE(""https://docs.google.com/spreadsheets/d/1SX6NBoVAgQJ6U1MVXOaj8PK2l7WJ3RER9xtqwdhxkhw/edit?usp=sharing"",""พระนครศรีอยุธยา!I164"")"),0.0)</f>
        <v>0</v>
      </c>
      <c r="J374" s="222">
        <f>IFERROR(__xludf.DUMMYFUNCTION("IMPORTRANGE(""https://docs.google.com/spreadsheets/d/1SX6NBoVAgQJ6U1MVXOaj8PK2l7WJ3RER9xtqwdhxkhw/edit?usp=sharing"",""พระนครศรีอยุธยา!J164"")"),0.0)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IFERROR(__xludf.DUMMYFUNCTION("IMPORTRANGE(""https://docs.google.com/spreadsheets/d/1SX6NBoVAgQJ6U1MVXOaj8PK2l7WJ3RER9xtqwdhxkhw/edit?usp=sharing"",""พระนครศรีอยุธยา!I270"")"),0.0)</f>
        <v>0</v>
      </c>
      <c r="J375" s="222">
        <f>IFERROR(__xludf.DUMMYFUNCTION("IMPORTRANGE(""https://docs.google.com/spreadsheets/d/1SX6NBoVAgQJ6U1MVXOaj8PK2l7WJ3RER9xtqwdhxkhw/edit?usp=sharing"",""พระนครศรีอยุธยา!J270"")"),0.0)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IFERROR(__xludf.DUMMYFUNCTION("IMPORTRANGE(""https://docs.google.com/spreadsheets/d/1SX6NBoVAgQJ6U1MVXOaj8PK2l7WJ3RER9xtqwdhxkhw/edit?usp=sharing"",""พระนครศรีอยุธยา!I271"")"),0.0)</f>
        <v>0</v>
      </c>
      <c r="J376" s="223">
        <f>IFERROR(__xludf.DUMMYFUNCTION("IMPORTRANGE(""https://docs.google.com/spreadsheets/d/1SX6NBoVAgQJ6U1MVXOaj8PK2l7WJ3RER9xtqwdhxkhw/edit?usp=sharing"",""พระนครศรีอยุธยา!J271"")"),0.0)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IFERROR(__xludf.DUMMYFUNCTION("IMPORTRANGE(""https://docs.google.com/spreadsheets/d/1SX6NBoVAgQJ6U1MVXOaj8PK2l7WJ3RER9xtqwdhxkhw/edit?usp=sharing"",""พระนครศรีอยุธยา!I272"")"),0.0)</f>
        <v>0</v>
      </c>
      <c r="J377" s="238">
        <f>IFERROR(__xludf.DUMMYFUNCTION("IMPORTRANGE(""https://docs.google.com/spreadsheets/d/1SX6NBoVAgQJ6U1MVXOaj8PK2l7WJ3RER9xtqwdhxkhw/edit?usp=sharing"",""พระนครศรีอยุธยา!J272"")"),0.0)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IFERROR(__xludf.DUMMYFUNCTION("IMPORTRANGE(""https://docs.google.com/spreadsheets/d/1SX6NBoVAgQJ6U1MVXOaj8PK2l7WJ3RER9xtqwdhxkhw/edit?usp=sharing"",""พระนครศรีอยุธยา!J273"")"),0.0)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IFERROR(__xludf.DUMMYFUNCTION("IMPORTRANGE(""https://docs.google.com/spreadsheets/d/1SX6NBoVAgQJ6U1MVXOaj8PK2l7WJ3RER9xtqwdhxkhw/edit?usp=sharing"",""พระนครศรีอยุธยา!J274"")"),0.0)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IFERROR(__xludf.DUMMYFUNCTION("IMPORTRANGE(""https://docs.google.com/spreadsheets/d/1SX6NBoVAgQJ6U1MVXOaj8PK2l7WJ3RER9xtqwdhxkhw/edit?usp=sharing"",""พระนครศรีอยุธยา!I275"")"),0.0)</f>
        <v>0</v>
      </c>
      <c r="J380" s="404">
        <f>IFERROR(__xludf.DUMMYFUNCTION("IMPORTRANGE(""https://docs.google.com/spreadsheets/d/1SX6NBoVAgQJ6U1MVXOaj8PK2l7WJ3RER9xtqwdhxkhw/edit?usp=sharing"",""พระนครศรีอยุธยา!J275"")"),0.0)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IFERROR(__xludf.DUMMYFUNCTION("IMPORTRANGE(""https://docs.google.com/spreadsheets/d/1SX6NBoVAgQJ6U1MVXOaj8PK2l7WJ3RER9xtqwdhxkhw/edit?usp=sharing"",""พระนครศรีอยุธยา!L275"")"),0.0)</f>
        <v>0</v>
      </c>
      <c r="M380" s="406"/>
      <c r="N380" s="406">
        <f>IFERROR(__xludf.DUMMYFUNCTION("IMPORTRANGE(""https://docs.google.com/spreadsheets/d/1SX6NBoVAgQJ6U1MVXOaj8PK2l7WJ3RER9xtqwdhxkhw/edit?usp=sharing"",""พระนครศรีอยุธยา!M275"")"),0.0)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IFERROR(__xludf.DUMMYFUNCTION("IMPORTRANGE(""https://docs.google.com/spreadsheets/d/1SX6NBoVAgQJ6U1MVXOaj8PK2l7WJ3RER9xtqwdhxkhw/edit?usp=sharing"",""พระนครศรีอยุธยา!I276"")"),0.0)</f>
        <v>0</v>
      </c>
      <c r="J381" s="404">
        <f>IFERROR(__xludf.DUMMYFUNCTION("IMPORTRANGE(""https://docs.google.com/spreadsheets/d/1SX6NBoVAgQJ6U1MVXOaj8PK2l7WJ3RER9xtqwdhxkhw/edit?usp=sharing"",""พระนครศรีอยุธยา!J276"")"),0.0)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IFERROR(__xludf.DUMMYFUNCTION("IMPORTRANGE(""https://docs.google.com/spreadsheets/d/1SX6NBoVAgQJ6U1MVXOaj8PK2l7WJ3RER9xtqwdhxkhw/edit?usp=sharing"",""พระนครศรีอยุธยา!L277"")"),0.0)</f>
        <v>0</v>
      </c>
      <c r="M382" s="197"/>
      <c r="N382" s="197">
        <f>IFERROR(__xludf.DUMMYFUNCTION("IMPORTRANGE(""https://docs.google.com/spreadsheets/d/1SX6NBoVAgQJ6U1MVXOaj8PK2l7WJ3RER9xtqwdhxkhw/edit?usp=sharing"",""พระนครศรีอยุธยา!M277"")"),0.0)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IFERROR(__xludf.DUMMYFUNCTION("IMPORTRANGE(""https://docs.google.com/spreadsheets/d/1SX6NBoVAgQJ6U1MVXOaj8PK2l7WJ3RER9xtqwdhxkhw/edit?usp=sharing"",""พระนครศรีอยุธยา!L278"")"),0.0)</f>
        <v>0</v>
      </c>
      <c r="M383" s="198"/>
      <c r="N383" s="198">
        <f>IFERROR(__xludf.DUMMYFUNCTION("IMPORTRANGE(""https://docs.google.com/spreadsheets/d/1SX6NBoVAgQJ6U1MVXOaj8PK2l7WJ3RER9xtqwdhxkhw/edit?usp=sharing"",""พระนครศรีอยุธยา!M278"")"),0.0)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IFERROR(__xludf.DUMMYFUNCTION("IMPORTRANGE(""https://docs.google.com/spreadsheets/d/1SX6NBoVAgQJ6U1MVXOaj8PK2l7WJ3RER9xtqwdhxkhw/edit?usp=sharing"",""พระนครศรีอยุธยา!L279"")"),0.0)</f>
        <v>0</v>
      </c>
      <c r="M384" s="203"/>
      <c r="N384" s="203">
        <f>IFERROR(__xludf.DUMMYFUNCTION("IMPORTRANGE(""https://docs.google.com/spreadsheets/d/1SX6NBoVAgQJ6U1MVXOaj8PK2l7WJ3RER9xtqwdhxkhw/edit?usp=sharing"",""พระนครศรีอยุธยา!M279"")"),0.0)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IFERROR(__xludf.DUMMYFUNCTION("IMPORTRANGE(""https://docs.google.com/spreadsheets/d/1SX6NBoVAgQJ6U1MVXOaj8PK2l7WJ3RER9xtqwdhxkhw/edit?usp=sharing"",""พระนครศรีอยุธยา!L280"")"),0.0)</f>
        <v>0</v>
      </c>
      <c r="M385" s="203"/>
      <c r="N385" s="200">
        <f>IFERROR(__xludf.DUMMYFUNCTION("IMPORTRANGE(""https://docs.google.com/spreadsheets/d/1SX6NBoVAgQJ6U1MVXOaj8PK2l7WJ3RER9xtqwdhxkhw/edit?usp=sharing"",""พระนครศรีอยุธยา!M280"")"),0.0)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IFERROR(__xludf.DUMMYFUNCTION("IMPORTRANGE(""https://docs.google.com/spreadsheets/d/1SX6NBoVAgQJ6U1MVXOaj8PK2l7WJ3RER9xtqwdhxkhw/edit?usp=sharing"",""พระนครศรีอยุธยา!M281"")"),0.0)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IFERROR(__xludf.DUMMYFUNCTION("IMPORTRANGE(""https://docs.google.com/spreadsheets/d/1SX6NBoVAgQJ6U1MVXOaj8PK2l7WJ3RER9xtqwdhxkhw/edit?usp=sharing"",""พระนครศรีอยุธยา!M282"")"),0.0)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IFERROR(__xludf.DUMMYFUNCTION("IMPORTRANGE(""https://docs.google.com/spreadsheets/d/1SX6NBoVAgQJ6U1MVXOaj8PK2l7WJ3RER9xtqwdhxkhw/edit?usp=sharing"",""พระนครศรีอยุธยา!M283"")"),0.0)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IFERROR(__xludf.DUMMYFUNCTION("IMPORTRANGE(""https://docs.google.com/spreadsheets/d/1SX6NBoVAgQJ6U1MVXOaj8PK2l7WJ3RER9xtqwdhxkhw/edit?usp=sharing"",""พระนครศรีอยุธยา!M284"")"),0.0)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IFERROR(__xludf.DUMMYFUNCTION("IMPORTRANGE(""https://docs.google.com/spreadsheets/d/1SX6NBoVAgQJ6U1MVXOaj8PK2l7WJ3RER9xtqwdhxkhw/edit?usp=sharing"",""พระนครศรีอยุธยา!J286"")"),0.0)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IFERROR(__xludf.DUMMYFUNCTION("IMPORTRANGE(""https://docs.google.com/spreadsheets/d/1SX6NBoVAgQJ6U1MVXOaj8PK2l7WJ3RER9xtqwdhxkhw/edit?usp=sharing"",""พระนครศรีอยุธยา!J287"")"),1.0)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IFERROR(__xludf.DUMMYFUNCTION("IMPORTRANGE(""https://docs.google.com/spreadsheets/d/1SX6NBoVAgQJ6U1MVXOaj8PK2l7WJ3RER9xtqwdhxkhw/edit?usp=sharing"",""พระนครศรีอยุธยา!J288"")"),1.0)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IFERROR(__xludf.DUMMYFUNCTION("IMPORTRANGE(""https://docs.google.com/spreadsheets/d/1SX6NBoVAgQJ6U1MVXOaj8PK2l7WJ3RER9xtqwdhxkhw/edit?usp=sharing"",""พระนครศรีอยุธยา!J289"")"),0.0)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IFERROR(__xludf.DUMMYFUNCTION("IMPORTRANGE(""https://docs.google.com/spreadsheets/d/1SX6NBoVAgQJ6U1MVXOaj8PK2l7WJ3RER9xtqwdhxkhw/edit?usp=sharing"",""พระนครศรีอยุธยา!I291"")"),0.0)</f>
        <v>0</v>
      </c>
      <c r="J396" s="232">
        <f>IFERROR(__xludf.DUMMYFUNCTION("IMPORTRANGE(""https://docs.google.com/spreadsheets/d/1SX6NBoVAgQJ6U1MVXOaj8PK2l7WJ3RER9xtqwdhxkhw/edit?usp=sharing"",""พระนครศรีอยุธยา!J291"")"),0.0)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IFERROR(__xludf.DUMMYFUNCTION("IMPORTRANGE(""https://docs.google.com/spreadsheets/d/1SX6NBoVAgQJ6U1MVXOaj8PK2l7WJ3RER9xtqwdhxkhw/edit?usp=sharing"",""พระนครศรีอยุธยา!I292"")"),0.0)</f>
        <v>0</v>
      </c>
      <c r="J397" s="232">
        <f>IFERROR(__xludf.DUMMYFUNCTION("IMPORTRANGE(""https://docs.google.com/spreadsheets/d/1SX6NBoVAgQJ6U1MVXOaj8PK2l7WJ3RER9xtqwdhxkhw/edit?usp=sharing"",""พระนครศรีอยุธยา!J292"")"),0.0)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IFERROR(__xludf.DUMMYFUNCTION("IMPORTRANGE(""https://docs.google.com/spreadsheets/d/1SX6NBoVAgQJ6U1MVXOaj8PK2l7WJ3RER9xtqwdhxkhw/edit?usp=sharing"",""พระนครศรีอยุธยา!I293"")"),0.0)</f>
        <v>0</v>
      </c>
      <c r="J398" s="232">
        <f>IFERROR(__xludf.DUMMYFUNCTION("IMPORTRANGE(""https://docs.google.com/spreadsheets/d/1SX6NBoVAgQJ6U1MVXOaj8PK2l7WJ3RER9xtqwdhxkhw/edit?usp=sharing"",""พระนครศรีอยุธยา!J293"")"),0.0)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IFERROR(__xludf.DUMMYFUNCTION("IMPORTRANGE(""https://docs.google.com/spreadsheets/d/1SX6NBoVAgQJ6U1MVXOaj8PK2l7WJ3RER9xtqwdhxkhw/edit?usp=sharing"",""พระนครศรีอยุธยา!J294"")"),0.0)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IFERROR(__xludf.DUMMYFUNCTION("IMPORTRANGE(""https://docs.google.com/spreadsheets/d/1SX6NBoVAgQJ6U1MVXOaj8PK2l7WJ3RER9xtqwdhxkhw/edit?usp=sharing"",""พระนครศรีอยุธยา!J295"")"),0.0)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IFERROR(__xludf.DUMMYFUNCTION("IMPORTRANGE(""https://docs.google.com/spreadsheets/d/1SX6NBoVAgQJ6U1MVXOaj8PK2l7WJ3RER9xtqwdhxkhw/edit?usp=sharing"",""พระนครศรีอยุธยา!I296"")"),225.0)</f>
        <v>225</v>
      </c>
      <c r="J401" s="404">
        <f>IFERROR(__xludf.DUMMYFUNCTION("IMPORTRANGE(""https://docs.google.com/spreadsheets/d/1SX6NBoVAgQJ6U1MVXOaj8PK2l7WJ3RER9xtqwdhxkhw/edit?usp=sharing"",""พระนครศรีอยุธยา!J296"")"),0.0)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IFERROR(__xludf.DUMMYFUNCTION("IMPORTRANGE(""https://docs.google.com/spreadsheets/d/1SX6NBoVAgQJ6U1MVXOaj8PK2l7WJ3RER9xtqwdhxkhw/edit?usp=sharing"",""พระนครศรีอยุธยา!L296"")"),230070.0)</f>
        <v>230070</v>
      </c>
      <c r="M401" s="406"/>
      <c r="N401" s="406">
        <f>IFERROR(__xludf.DUMMYFUNCTION("IMPORTRANGE(""https://docs.google.com/spreadsheets/d/1SX6NBoVAgQJ6U1MVXOaj8PK2l7WJ3RER9xtqwdhxkhw/edit?usp=sharing"",""พระนครศรีอยุธยา!M296"")"),620.0)</f>
        <v>620</v>
      </c>
      <c r="O401" s="406">
        <f>+IF(L401&gt;0,N401*100/L401,0)</f>
        <v>0.2694832008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IFERROR(__xludf.DUMMYFUNCTION("IMPORTRANGE(""https://docs.google.com/spreadsheets/d/1SX6NBoVAgQJ6U1MVXOaj8PK2l7WJ3RER9xtqwdhxkhw/edit?usp=sharing"",""พระนครศรีอยุธยา!I297"")"),75.0)</f>
        <v>75</v>
      </c>
      <c r="J402" s="404">
        <f>IFERROR(__xludf.DUMMYFUNCTION("IMPORTRANGE(""https://docs.google.com/spreadsheets/d/1SX6NBoVAgQJ6U1MVXOaj8PK2l7WJ3RER9xtqwdhxkhw/edit?usp=sharing"",""พระนครศรีอยุธยา!J297"")"),0.0)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IFERROR(__xludf.DUMMYFUNCTION("IMPORTRANGE(""https://docs.google.com/spreadsheets/d/1SX6NBoVAgQJ6U1MVXOaj8PK2l7WJ3RER9xtqwdhxkhw/edit?usp=sharing"",""พระนครศรีอยุธยา!L298"")"),0.0)</f>
        <v>0</v>
      </c>
      <c r="M403" s="197"/>
      <c r="N403" s="203">
        <f>IFERROR(__xludf.DUMMYFUNCTION("IMPORTRANGE(""https://docs.google.com/spreadsheets/d/1SX6NBoVAgQJ6U1MVXOaj8PK2l7WJ3RER9xtqwdhxkhw/edit?usp=sharing"",""พระนครศรีอยุธยา!M298"")"),0.0)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IFERROR(__xludf.DUMMYFUNCTION("IMPORTRANGE(""https://docs.google.com/spreadsheets/d/1SX6NBoVAgQJ6U1MVXOaj8PK2l7WJ3RER9xtqwdhxkhw/edit?usp=sharing"",""พระนครศรีอยุธยา!L299"")"),230070.0)</f>
        <v>230070</v>
      </c>
      <c r="M404" s="198"/>
      <c r="N404" s="203">
        <f>IFERROR(__xludf.DUMMYFUNCTION("IMPORTRANGE(""https://docs.google.com/spreadsheets/d/1SX6NBoVAgQJ6U1MVXOaj8PK2l7WJ3RER9xtqwdhxkhw/edit?usp=sharing"",""พระนครศรีอยุธยา!M299"")"),620.0)</f>
        <v>620</v>
      </c>
      <c r="O404" s="203">
        <f t="shared" si="113"/>
        <v>0.2694832008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IFERROR(__xludf.DUMMYFUNCTION("IMPORTRANGE(""https://docs.google.com/spreadsheets/d/1SX6NBoVAgQJ6U1MVXOaj8PK2l7WJ3RER9xtqwdhxkhw/edit?usp=sharing"",""พระนครศรีอยุธยา!L300"")"),0.0)</f>
        <v>0</v>
      </c>
      <c r="M405" s="203"/>
      <c r="N405" s="203">
        <f>IFERROR(__xludf.DUMMYFUNCTION("IMPORTRANGE(""https://docs.google.com/spreadsheets/d/1SX6NBoVAgQJ6U1MVXOaj8PK2l7WJ3RER9xtqwdhxkhw/edit?usp=sharing"",""พระนครศรีอยุธยา!M300"")"),0.0)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IFERROR(__xludf.DUMMYFUNCTION("IMPORTRANGE(""https://docs.google.com/spreadsheets/d/1SX6NBoVAgQJ6U1MVXOaj8PK2l7WJ3RER9xtqwdhxkhw/edit?usp=sharing"",""พระนครศรีอยุธยา!L301"")"),230070.0)</f>
        <v>230070</v>
      </c>
      <c r="M406" s="203"/>
      <c r="N406" s="203">
        <f>IFERROR(__xludf.DUMMYFUNCTION("IMPORTRANGE(""https://docs.google.com/spreadsheets/d/1SX6NBoVAgQJ6U1MVXOaj8PK2l7WJ3RER9xtqwdhxkhw/edit?usp=sharing"",""พระนครศรีอยุธยา!M301"")"),620.0)</f>
        <v>620</v>
      </c>
      <c r="O406" s="203">
        <f t="shared" si="113"/>
        <v>0.2694832008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IFERROR(__xludf.DUMMYFUNCTION("IMPORTRANGE(""https://docs.google.com/spreadsheets/d/1SX6NBoVAgQJ6U1MVXOaj8PK2l7WJ3RER9xtqwdhxkhw/edit?usp=sharing"",""พระนครศรีอยุธยา!M302"")"),0.0)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IFERROR(__xludf.DUMMYFUNCTION("IMPORTRANGE(""https://docs.google.com/spreadsheets/d/1SX6NBoVAgQJ6U1MVXOaj8PK2l7WJ3RER9xtqwdhxkhw/edit?usp=sharing"",""พระนครศรีอยุธยา!M303"")"),0.0)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IFERROR(__xludf.DUMMYFUNCTION("IMPORTRANGE(""https://docs.google.com/spreadsheets/d/1SX6NBoVAgQJ6U1MVXOaj8PK2l7WJ3RER9xtqwdhxkhw/edit?usp=sharing"",""พระนครศรีอยุธยา!M304"")"),0.0)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IFERROR(__xludf.DUMMYFUNCTION("IMPORTRANGE(""https://docs.google.com/spreadsheets/d/1SX6NBoVAgQJ6U1MVXOaj8PK2l7WJ3RER9xtqwdhxkhw/edit?usp=sharing"",""พระนครศรีอยุธยา!M305"")"),620.0)</f>
        <v>620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IFERROR(__xludf.DUMMYFUNCTION("IMPORTRANGE(""https://docs.google.com/spreadsheets/d/1SX6NBoVAgQJ6U1MVXOaj8PK2l7WJ3RER9xtqwdhxkhw/edit?usp=sharing"",""พระนครศรีอยุธยา!J307"")"),0.0)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IFERROR(__xludf.DUMMYFUNCTION("IMPORTRANGE(""https://docs.google.com/spreadsheets/d/1SX6NBoVAgQJ6U1MVXOaj8PK2l7WJ3RER9xtqwdhxkhw/edit?usp=sharing"",""พระนครศรีอยุธยา!J308"")"),1.0)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IFERROR(__xludf.DUMMYFUNCTION("IMPORTRANGE(""https://docs.google.com/spreadsheets/d/1SX6NBoVAgQJ6U1MVXOaj8PK2l7WJ3RER9xtqwdhxkhw/edit?usp=sharing"",""พระนครศรีอยุธยา!J309"")"),1.0)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IFERROR(__xludf.DUMMYFUNCTION("IMPORTRANGE(""https://docs.google.com/spreadsheets/d/1SX6NBoVAgQJ6U1MVXOaj8PK2l7WJ3RER9xtqwdhxkhw/edit?usp=sharing"",""พระนครศรีอยุธยา!J310"")"),0.0)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IFERROR(__xludf.DUMMYFUNCTION("IMPORTRANGE(""https://docs.google.com/spreadsheets/d/1SX6NBoVAgQJ6U1MVXOaj8PK2l7WJ3RER9xtqwdhxkhw/edit?usp=sharing"",""พระนครศรีอยุธยา!I311"")"),75.0)</f>
        <v>75</v>
      </c>
      <c r="J416" s="235">
        <f>IFERROR(__xludf.DUMMYFUNCTION("IMPORTRANGE(""https://docs.google.com/spreadsheets/d/1SX6NBoVAgQJ6U1MVXOaj8PK2l7WJ3RER9xtqwdhxkhw/edit?usp=sharing"",""พระนครศรีอยุธยา!J311"")"),0.0)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IFERROR(__xludf.DUMMYFUNCTION("IMPORTRANGE(""https://docs.google.com/spreadsheets/d/1SX6NBoVAgQJ6U1MVXOaj8PK2l7WJ3RER9xtqwdhxkhw/edit?usp=sharing"",""พระนครศรีอยุธยา!I312"")"),0.0)</f>
        <v>0</v>
      </c>
      <c r="J417" s="425">
        <f>IFERROR(__xludf.DUMMYFUNCTION("IMPORTRANGE(""https://docs.google.com/spreadsheets/d/1SX6NBoVAgQJ6U1MVXOaj8PK2l7WJ3RER9xtqwdhxkhw/edit?usp=sharing"",""พระนครศรีอยุธยา!J312"")"),0.0)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IFERROR(__xludf.DUMMYFUNCTION("IMPORTRANGE(""https://docs.google.com/spreadsheets/d/1SX6NBoVAgQJ6U1MVXOaj8PK2l7WJ3RER9xtqwdhxkhw/edit?usp=sharing"",""พระนครศรีอยุธยา!I313"")"),0.0)</f>
        <v>0</v>
      </c>
      <c r="J418" s="426">
        <f>IFERROR(__xludf.DUMMYFUNCTION("IMPORTRANGE(""https://docs.google.com/spreadsheets/d/1SX6NBoVAgQJ6U1MVXOaj8PK2l7WJ3RER9xtqwdhxkhw/edit?usp=sharing"",""พระนครศรีอยุธยา!J313"")"),0.0)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IFERROR(__xludf.DUMMYFUNCTION("IMPORTRANGE(""https://docs.google.com/spreadsheets/d/1SX6NBoVAgQJ6U1MVXOaj8PK2l7WJ3RER9xtqwdhxkhw/edit?usp=sharing"",""พระนครศรีอยุธยา!I314"")"),0.0)</f>
        <v>0</v>
      </c>
      <c r="J419" s="427">
        <f>IFERROR(__xludf.DUMMYFUNCTION("IMPORTRANGE(""https://docs.google.com/spreadsheets/d/1SX6NBoVAgQJ6U1MVXOaj8PK2l7WJ3RER9xtqwdhxkhw/edit?usp=sharing"",""พระนครศรีอยุธยา!J314"")"),0.0)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IFERROR(__xludf.DUMMYFUNCTION("IMPORTRANGE(""https://docs.google.com/spreadsheets/d/1SX6NBoVAgQJ6U1MVXOaj8PK2l7WJ3RER9xtqwdhxkhw/edit?usp=sharing"",""พระนครศรีอยุธยา!I315"")"),0.0)</f>
        <v>0</v>
      </c>
      <c r="J420" s="427">
        <f>IFERROR(__xludf.DUMMYFUNCTION("IMPORTRANGE(""https://docs.google.com/spreadsheets/d/1SX6NBoVAgQJ6U1MVXOaj8PK2l7WJ3RER9xtqwdhxkhw/edit?usp=sharing"",""พระนครศรีอยุธยา!J315"")"),0.0)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IFERROR(__xludf.DUMMYFUNCTION("IMPORTRANGE(""https://docs.google.com/spreadsheets/d/1SX6NBoVAgQJ6U1MVXOaj8PK2l7WJ3RER9xtqwdhxkhw/edit?usp=sharing"",""พระนครศรีอยุธยา!I316"")"),65.0)</f>
        <v>65</v>
      </c>
      <c r="J421" s="425">
        <f>IFERROR(__xludf.DUMMYFUNCTION("IMPORTRANGE(""https://docs.google.com/spreadsheets/d/1SX6NBoVAgQJ6U1MVXOaj8PK2l7WJ3RER9xtqwdhxkhw/edit?usp=sharing"",""พระนครศรีอยุธยา!J316"")"),0.0)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IFERROR(__xludf.DUMMYFUNCTION("IMPORTRANGE(""https://docs.google.com/spreadsheets/d/1SX6NBoVAgQJ6U1MVXOaj8PK2l7WJ3RER9xtqwdhxkhw/edit?usp=sharing"",""พระนครศรีอยุธยา!I317"")"),195.0)</f>
        <v>195</v>
      </c>
      <c r="J422" s="426">
        <f>IFERROR(__xludf.DUMMYFUNCTION("IMPORTRANGE(""https://docs.google.com/spreadsheets/d/1SX6NBoVAgQJ6U1MVXOaj8PK2l7WJ3RER9xtqwdhxkhw/edit?usp=sharing"",""พระนครศรีอยุธยา!J317"")"),0.0)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IFERROR(__xludf.DUMMYFUNCTION("IMPORTRANGE(""https://docs.google.com/spreadsheets/d/1SX6NBoVAgQJ6U1MVXOaj8PK2l7WJ3RER9xtqwdhxkhw/edit?usp=sharing"",""พระนครศรีอยุธยา!I318"")"),65.0)</f>
        <v>65</v>
      </c>
      <c r="J423" s="427">
        <f>IFERROR(__xludf.DUMMYFUNCTION("IMPORTRANGE(""https://docs.google.com/spreadsheets/d/1SX6NBoVAgQJ6U1MVXOaj8PK2l7WJ3RER9xtqwdhxkhw/edit?usp=sharing"",""พระนครศรีอยุธยา!J318"")"),0.0)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IFERROR(__xludf.DUMMYFUNCTION("IMPORTRANGE(""https://docs.google.com/spreadsheets/d/1SX6NBoVAgQJ6U1MVXOaj8PK2l7WJ3RER9xtqwdhxkhw/edit?usp=sharing"",""พระนครศรีอยุธยา!I319"")"),65.0)</f>
        <v>65</v>
      </c>
      <c r="J424" s="427">
        <f>IFERROR(__xludf.DUMMYFUNCTION("IMPORTRANGE(""https://docs.google.com/spreadsheets/d/1SX6NBoVAgQJ6U1MVXOaj8PK2l7WJ3RER9xtqwdhxkhw/edit?usp=sharing"",""พระนครศรีอยุธยา!J319"")"),0.0)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IFERROR(__xludf.DUMMYFUNCTION("IMPORTRANGE(""https://docs.google.com/spreadsheets/d/1SX6NBoVAgQJ6U1MVXOaj8PK2l7WJ3RER9xtqwdhxkhw/edit?usp=sharing"",""พระนครศรีอยุธยา!I320"")"),65.0)</f>
        <v>65</v>
      </c>
      <c r="J425" s="427">
        <f>IFERROR(__xludf.DUMMYFUNCTION("IMPORTRANGE(""https://docs.google.com/spreadsheets/d/1SX6NBoVAgQJ6U1MVXOaj8PK2l7WJ3RER9xtqwdhxkhw/edit?usp=sharing"",""พระนครศรีอยุธยา!J320"")"),0.0)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IFERROR(__xludf.DUMMYFUNCTION("IMPORTRANGE(""https://docs.google.com/spreadsheets/d/1SX6NBoVAgQJ6U1MVXOaj8PK2l7WJ3RER9xtqwdhxkhw/edit?usp=sharing"",""พระนครศรีอยุธยา!I321"")"),10.0)</f>
        <v>10</v>
      </c>
      <c r="J426" s="425">
        <f>IFERROR(__xludf.DUMMYFUNCTION("IMPORTRANGE(""https://docs.google.com/spreadsheets/d/1SX6NBoVAgQJ6U1MVXOaj8PK2l7WJ3RER9xtqwdhxkhw/edit?usp=sharing"",""พระนครศรีอยุธยา!J321"")"),0.0)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IFERROR(__xludf.DUMMYFUNCTION("IMPORTRANGE(""https://docs.google.com/spreadsheets/d/1SX6NBoVAgQJ6U1MVXOaj8PK2l7WJ3RER9xtqwdhxkhw/edit?usp=sharing"",""พระนครศรีอยุธยา!I322"")"),30.0)</f>
        <v>30</v>
      </c>
      <c r="J427" s="426">
        <f>IFERROR(__xludf.DUMMYFUNCTION("IMPORTRANGE(""https://docs.google.com/spreadsheets/d/1SX6NBoVAgQJ6U1MVXOaj8PK2l7WJ3RER9xtqwdhxkhw/edit?usp=sharing"",""พระนครศรีอยุธยา!J322"")"),0.0)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IFERROR(__xludf.DUMMYFUNCTION("IMPORTRANGE(""https://docs.google.com/spreadsheets/d/1SX6NBoVAgQJ6U1MVXOaj8PK2l7WJ3RER9xtqwdhxkhw/edit?usp=sharing"",""พระนครศรีอยุธยา!I323"")"),10.0)</f>
        <v>10</v>
      </c>
      <c r="J428" s="427">
        <f>IFERROR(__xludf.DUMMYFUNCTION("IMPORTRANGE(""https://docs.google.com/spreadsheets/d/1SX6NBoVAgQJ6U1MVXOaj8PK2l7WJ3RER9xtqwdhxkhw/edit?usp=sharing"",""พระนครศรีอยุธยา!J323"")"),0.0)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IFERROR(__xludf.DUMMYFUNCTION("IMPORTRANGE(""https://docs.google.com/spreadsheets/d/1SX6NBoVAgQJ6U1MVXOaj8PK2l7WJ3RER9xtqwdhxkhw/edit?usp=sharing"",""พระนครศรีอยุธยา!I324"")"),10.0)</f>
        <v>10</v>
      </c>
      <c r="J429" s="427">
        <f>IFERROR(__xludf.DUMMYFUNCTION("IMPORTRANGE(""https://docs.google.com/spreadsheets/d/1SX6NBoVAgQJ6U1MVXOaj8PK2l7WJ3RER9xtqwdhxkhw/edit?usp=sharing"",""พระนครศรีอยุธยา!J324"")"),0.0)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IFERROR(__xludf.DUMMYFUNCTION("IMPORTRANGE(""https://docs.google.com/spreadsheets/d/1SX6NBoVAgQJ6U1MVXOaj8PK2l7WJ3RER9xtqwdhxkhw/edit?usp=sharing"",""พระนครศรีอยุธยา!I325"")"),65.0)</f>
        <v>65</v>
      </c>
      <c r="J430" s="425">
        <f>IFERROR(__xludf.DUMMYFUNCTION("IMPORTRANGE(""https://docs.google.com/spreadsheets/d/1SX6NBoVAgQJ6U1MVXOaj8PK2l7WJ3RER9xtqwdhxkhw/edit?usp=sharing"",""พระนครศรีอยุธยา!J325"")"),0.0)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IFERROR(__xludf.DUMMYFUNCTION("IMPORTRANGE(""https://docs.google.com/spreadsheets/d/1SX6NBoVAgQJ6U1MVXOaj8PK2l7WJ3RER9xtqwdhxkhw/edit?usp=sharing"",""พระนครศรีอยุธยา!I326"")"),0.0)</f>
        <v>0</v>
      </c>
      <c r="J431" s="427">
        <f>IFERROR(__xludf.DUMMYFUNCTION("IMPORTRANGE(""https://docs.google.com/spreadsheets/d/1SX6NBoVAgQJ6U1MVXOaj8PK2l7WJ3RER9xtqwdhxkhw/edit?usp=sharing"",""พระนครศรีอยุธยา!J326"")"),0.0)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IFERROR(__xludf.DUMMYFUNCTION("IMPORTRANGE(""https://docs.google.com/spreadsheets/d/1SX6NBoVAgQJ6U1MVXOaj8PK2l7WJ3RER9xtqwdhxkhw/edit?usp=sharing"",""พระนครศรีอยุธยา!I327"")"),65.0)</f>
        <v>65</v>
      </c>
      <c r="J432" s="427">
        <f>IFERROR(__xludf.DUMMYFUNCTION("IMPORTRANGE(""https://docs.google.com/spreadsheets/d/1SX6NBoVAgQJ6U1MVXOaj8PK2l7WJ3RER9xtqwdhxkhw/edit?usp=sharing"",""พระนครศรีอยุธยา!J327"")"),0.0)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IFERROR(__xludf.DUMMYFUNCTION("IMPORTRANGE(""https://docs.google.com/spreadsheets/d/1SX6NBoVAgQJ6U1MVXOaj8PK2l7WJ3RER9xtqwdhxkhw/edit?usp=sharing"",""พระนครศรีอยุธยา!J328"")"),0.0)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IFERROR(__xludf.DUMMYFUNCTION("IMPORTRANGE(""https://docs.google.com/spreadsheets/d/1SX6NBoVAgQJ6U1MVXOaj8PK2l7WJ3RER9xtqwdhxkhw/edit?usp=sharing"",""พระนครศรีอยุธยา!J329"")"),0.0)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IFERROR(__xludf.DUMMYFUNCTION("IMPORTRANGE(""https://docs.google.com/spreadsheets/d/1SX6NBoVAgQJ6U1MVXOaj8PK2l7WJ3RER9xtqwdhxkhw/edit?usp=sharing"",""พระนครศรีอยุธยา!I330"")"),20.0)</f>
        <v>20</v>
      </c>
      <c r="J435" s="443">
        <f>IFERROR(__xludf.DUMMYFUNCTION("IMPORTRANGE(""https://docs.google.com/spreadsheets/d/1SX6NBoVAgQJ6U1MVXOaj8PK2l7WJ3RER9xtqwdhxkhw/edit?usp=sharing"",""พระนครศรีอยุธยา!J330"")"),0.0)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IFERROR(__xludf.DUMMYFUNCTION("IMPORTRANGE(""https://docs.google.com/spreadsheets/d/1SX6NBoVAgQJ6U1MVXOaj8PK2l7WJ3RER9xtqwdhxkhw/edit?usp=sharing"",""พระนครศรีอยุธยา!L330"")"),95000.0)</f>
        <v>95000</v>
      </c>
      <c r="M435" s="445"/>
      <c r="N435" s="445">
        <f>IFERROR(__xludf.DUMMYFUNCTION("IMPORTRANGE(""https://docs.google.com/spreadsheets/d/1SX6NBoVAgQJ6U1MVXOaj8PK2l7WJ3RER9xtqwdhxkhw/edit?usp=sharing"",""พระนครศรีอยุธยา!M330"")"),0.0)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IFERROR(__xludf.DUMMYFUNCTION("IMPORTRANGE(""https://docs.google.com/spreadsheets/d/1SX6NBoVAgQJ6U1MVXOaj8PK2l7WJ3RER9xtqwdhxkhw/edit?usp=sharing"",""พระนครศรีอยุธยา!L331"")"),0.0)</f>
        <v>0</v>
      </c>
      <c r="M436" s="197"/>
      <c r="N436" s="203">
        <f>IFERROR(__xludf.DUMMYFUNCTION("IMPORTRANGE(""https://docs.google.com/spreadsheets/d/1SX6NBoVAgQJ6U1MVXOaj8PK2l7WJ3RER9xtqwdhxkhw/edit?usp=sharing"",""พระนครศรีอยุธยา!M331"")"),0.0)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IFERROR(__xludf.DUMMYFUNCTION("IMPORTRANGE(""https://docs.google.com/spreadsheets/d/1SX6NBoVAgQJ6U1MVXOaj8PK2l7WJ3RER9xtqwdhxkhw/edit?usp=sharing"",""พระนครศรีอยุธยา!L332"")"),95000.0)</f>
        <v>95000</v>
      </c>
      <c r="M437" s="198"/>
      <c r="N437" s="203">
        <f>IFERROR(__xludf.DUMMYFUNCTION("IMPORTRANGE(""https://docs.google.com/spreadsheets/d/1SX6NBoVAgQJ6U1MVXOaj8PK2l7WJ3RER9xtqwdhxkhw/edit?usp=sharing"",""พระนครศรีอยุธยา!M332"")"),0.0)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IFERROR(__xludf.DUMMYFUNCTION("IMPORTRANGE(""https://docs.google.com/spreadsheets/d/1SX6NBoVAgQJ6U1MVXOaj8PK2l7WJ3RER9xtqwdhxkhw/edit?usp=sharing"",""พระนครศรีอยุธยา!L333"")"),0.0)</f>
        <v>0</v>
      </c>
      <c r="M438" s="203"/>
      <c r="N438" s="203">
        <f>IFERROR(__xludf.DUMMYFUNCTION("IMPORTRANGE(""https://docs.google.com/spreadsheets/d/1SX6NBoVAgQJ6U1MVXOaj8PK2l7WJ3RER9xtqwdhxkhw/edit?usp=sharing"",""พระนครศรีอยุธยา!M333"")"),0.0)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IFERROR(__xludf.DUMMYFUNCTION("IMPORTRANGE(""https://docs.google.com/spreadsheets/d/1SX6NBoVAgQJ6U1MVXOaj8PK2l7WJ3RER9xtqwdhxkhw/edit?usp=sharing"",""พระนครศรีอยุธยา!L334"")"),95000.0)</f>
        <v>95000</v>
      </c>
      <c r="M439" s="203"/>
      <c r="N439" s="203">
        <f>IFERROR(__xludf.DUMMYFUNCTION("IMPORTRANGE(""https://docs.google.com/spreadsheets/d/1SX6NBoVAgQJ6U1MVXOaj8PK2l7WJ3RER9xtqwdhxkhw/edit?usp=sharing"",""พระนครศรีอยุธยา!M334"")"),0.0)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IFERROR(__xludf.DUMMYFUNCTION("IMPORTRANGE(""https://docs.google.com/spreadsheets/d/1SX6NBoVAgQJ6U1MVXOaj8PK2l7WJ3RER9xtqwdhxkhw/edit?usp=sharing"",""พระนครศรีอยุธยา!M335"")"),0.0)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IFERROR(__xludf.DUMMYFUNCTION("IMPORTRANGE(""https://docs.google.com/spreadsheets/d/1SX6NBoVAgQJ6U1MVXOaj8PK2l7WJ3RER9xtqwdhxkhw/edit?usp=sharing"",""พระนครศรีอยุธยา!M336"")"),0.0)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IFERROR(__xludf.DUMMYFUNCTION("IMPORTRANGE(""https://docs.google.com/spreadsheets/d/1SX6NBoVAgQJ6U1MVXOaj8PK2l7WJ3RER9xtqwdhxkhw/edit?usp=sharing"",""พระนครศรีอยุธยา!M337"")"),0.0)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IFERROR(__xludf.DUMMYFUNCTION("IMPORTRANGE(""https://docs.google.com/spreadsheets/d/1SX6NBoVAgQJ6U1MVXOaj8PK2l7WJ3RER9xtqwdhxkhw/edit?usp=sharing"",""พระนครศรีอยุธยา!M338"")"),0.0)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IFERROR(__xludf.DUMMYFUNCTION("IMPORTRANGE(""https://docs.google.com/spreadsheets/d/1SX6NBoVAgQJ6U1MVXOaj8PK2l7WJ3RER9xtqwdhxkhw/edit?usp=sharing"",""พระนครศรีอยุธยา!J340"")"),0.0)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IFERROR(__xludf.DUMMYFUNCTION("IMPORTRANGE(""https://docs.google.com/spreadsheets/d/1SX6NBoVAgQJ6U1MVXOaj8PK2l7WJ3RER9xtqwdhxkhw/edit?usp=sharing"",""พระนครศรีอยุธยา!J341"")"),1.0)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IFERROR(__xludf.DUMMYFUNCTION("IMPORTRANGE(""https://docs.google.com/spreadsheets/d/1SX6NBoVAgQJ6U1MVXOaj8PK2l7WJ3RER9xtqwdhxkhw/edit?usp=sharing"",""พระนครศรีอยุธยา!J342"")"),1.0)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IFERROR(__xludf.DUMMYFUNCTION("IMPORTRANGE(""https://docs.google.com/spreadsheets/d/1SX6NBoVAgQJ6U1MVXOaj8PK2l7WJ3RER9xtqwdhxkhw/edit?usp=sharing"",""พระนครศรีอยุธยา!J343"")"),0.0)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IFERROR(__xludf.DUMMYFUNCTION("IMPORTRANGE(""https://docs.google.com/spreadsheets/d/1SX6NBoVAgQJ6U1MVXOaj8PK2l7WJ3RER9xtqwdhxkhw/edit?usp=sharing"",""พระนครศรีอยุธยา!I344"")"),20.0)</f>
        <v>20</v>
      </c>
      <c r="J449" s="235">
        <f>IFERROR(__xludf.DUMMYFUNCTION("IMPORTRANGE(""https://docs.google.com/spreadsheets/d/1SX6NBoVAgQJ6U1MVXOaj8PK2l7WJ3RER9xtqwdhxkhw/edit?usp=sharing"",""พระนครศรีอยุธยา!J344"")"),0.0)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IFERROR(__xludf.DUMMYFUNCTION("IMPORTRANGE(""https://docs.google.com/spreadsheets/d/1SX6NBoVAgQJ6U1MVXOaj8PK2l7WJ3RER9xtqwdhxkhw/edit?usp=sharing"",""พระนครศรีอยุธยา!I345"")"),20.0)</f>
        <v>20</v>
      </c>
      <c r="J450" s="223">
        <f>IFERROR(__xludf.DUMMYFUNCTION("IMPORTRANGE(""https://docs.google.com/spreadsheets/d/1SX6NBoVAgQJ6U1MVXOaj8PK2l7WJ3RER9xtqwdhxkhw/edit?usp=sharing"",""พระนครศรีอยุธยา!J345"")"),0.0)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IFERROR(__xludf.DUMMYFUNCTION("IMPORTRANGE(""https://docs.google.com/spreadsheets/d/1SX6NBoVAgQJ6U1MVXOaj8PK2l7WJ3RER9xtqwdhxkhw/edit?usp=sharing"",""พระนครศรีอยุธยา!I346"")"),0.0)</f>
        <v>0</v>
      </c>
      <c r="J451" s="222">
        <f>IFERROR(__xludf.DUMMYFUNCTION("IMPORTRANGE(""https://docs.google.com/spreadsheets/d/1SX6NBoVAgQJ6U1MVXOaj8PK2l7WJ3RER9xtqwdhxkhw/edit?usp=sharing"",""พระนครศรีอยุธยา!J346"")"),0.0)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IFERROR(__xludf.DUMMYFUNCTION("IMPORTRANGE(""https://docs.google.com/spreadsheets/d/1SX6NBoVAgQJ6U1MVXOaj8PK2l7WJ3RER9xtqwdhxkhw/edit?usp=sharing"",""พระนครศรีอยุธยา!I347"")"),0.0)</f>
        <v>0</v>
      </c>
      <c r="J452" s="222">
        <f>IFERROR(__xludf.DUMMYFUNCTION("IMPORTRANGE(""https://docs.google.com/spreadsheets/d/1SX6NBoVAgQJ6U1MVXOaj8PK2l7WJ3RER9xtqwdhxkhw/edit?usp=sharing"",""พระนครศรีอยุธยา!J347"")"),0.0)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IFERROR(__xludf.DUMMYFUNCTION("IMPORTRANGE(""https://docs.google.com/spreadsheets/d/1SX6NBoVAgQJ6U1MVXOaj8PK2l7WJ3RER9xtqwdhxkhw/edit?usp=sharing"",""พระนครศรีอยุธยา!J348"")"),0.0)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IFERROR(__xludf.DUMMYFUNCTION("IMPORTRANGE(""https://docs.google.com/spreadsheets/d/1SX6NBoVAgQJ6U1MVXOaj8PK2l7WJ3RER9xtqwdhxkhw/edit?usp=sharing"",""พระนครศรีอยุธยา!J349"")"),0.0)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IFERROR(__xludf.DUMMYFUNCTION("IMPORTRANGE(""https://docs.google.com/spreadsheets/d/1SX6NBoVAgQJ6U1MVXOaj8PK2l7WJ3RER9xtqwdhxkhw/edit?usp=sharing"",""พระนครศรีอยุธยา!I350"")"),2147.0)</f>
        <v>2147</v>
      </c>
      <c r="J455" s="404">
        <f>IFERROR(__xludf.DUMMYFUNCTION("IMPORTRANGE(""https://docs.google.com/spreadsheets/d/1SX6NBoVAgQJ6U1MVXOaj8PK2l7WJ3RER9xtqwdhxkhw/edit?usp=sharing"",""พระนครศรีอยุธยา!J350"")"),0.0)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IFERROR(__xludf.DUMMYFUNCTION("IMPORTRANGE(""https://docs.google.com/spreadsheets/d/1SX6NBoVAgQJ6U1MVXOaj8PK2l7WJ3RER9xtqwdhxkhw/edit?usp=sharing"",""พระนครศรีอยุธยา!L350"")"),103457.0)</f>
        <v>103457</v>
      </c>
      <c r="M455" s="406"/>
      <c r="N455" s="406">
        <f>IFERROR(__xludf.DUMMYFUNCTION("IMPORTRANGE(""https://docs.google.com/spreadsheets/d/1SX6NBoVAgQJ6U1MVXOaj8PK2l7WJ3RER9xtqwdhxkhw/edit?usp=sharing"",""พระนครศรีอยุธยา!M350"")"),0.0)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IFERROR(__xludf.DUMMYFUNCTION("IMPORTRANGE(""https://docs.google.com/spreadsheets/d/1SX6NBoVAgQJ6U1MVXOaj8PK2l7WJ3RER9xtqwdhxkhw/edit?usp=sharing"",""พระนครศรีอยุธยา!L351"")"),0.0)</f>
        <v>0</v>
      </c>
      <c r="M456" s="197"/>
      <c r="N456" s="203">
        <f>IFERROR(__xludf.DUMMYFUNCTION("IMPORTRANGE(""https://docs.google.com/spreadsheets/d/1SX6NBoVAgQJ6U1MVXOaj8PK2l7WJ3RER9xtqwdhxkhw/edit?usp=sharing"",""พระนครศรีอยุธยา!M351"")"),0.0)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IFERROR(__xludf.DUMMYFUNCTION("IMPORTRANGE(""https://docs.google.com/spreadsheets/d/1SX6NBoVAgQJ6U1MVXOaj8PK2l7WJ3RER9xtqwdhxkhw/edit?usp=sharing"",""พระนครศรีอยุธยา!L352"")"),103457.0)</f>
        <v>103457</v>
      </c>
      <c r="M457" s="198"/>
      <c r="N457" s="203">
        <f>IFERROR(__xludf.DUMMYFUNCTION("IMPORTRANGE(""https://docs.google.com/spreadsheets/d/1SX6NBoVAgQJ6U1MVXOaj8PK2l7WJ3RER9xtqwdhxkhw/edit?usp=sharing"",""พระนครศรีอยุธยา!M352"")"),0.0)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IFERROR(__xludf.DUMMYFUNCTION("IMPORTRANGE(""https://docs.google.com/spreadsheets/d/1SX6NBoVAgQJ6U1MVXOaj8PK2l7WJ3RER9xtqwdhxkhw/edit?usp=sharing"",""พระนครศรีอยุธยา!L353"")"),0.0)</f>
        <v>0</v>
      </c>
      <c r="M458" s="203"/>
      <c r="N458" s="203">
        <f>IFERROR(__xludf.DUMMYFUNCTION("IMPORTRANGE(""https://docs.google.com/spreadsheets/d/1SX6NBoVAgQJ6U1MVXOaj8PK2l7WJ3RER9xtqwdhxkhw/edit?usp=sharing"",""พระนครศรีอยุธยา!M353"")"),0.0)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IFERROR(__xludf.DUMMYFUNCTION("IMPORTRANGE(""https://docs.google.com/spreadsheets/d/1SX6NBoVAgQJ6U1MVXOaj8PK2l7WJ3RER9xtqwdhxkhw/edit?usp=sharing"",""พระนครศรีอยุธยา!L354"")"),103457.0)</f>
        <v>103457</v>
      </c>
      <c r="M459" s="203"/>
      <c r="N459" s="203">
        <f>IFERROR(__xludf.DUMMYFUNCTION("IMPORTRANGE(""https://docs.google.com/spreadsheets/d/1SX6NBoVAgQJ6U1MVXOaj8PK2l7WJ3RER9xtqwdhxkhw/edit?usp=sharing"",""พระนครศรีอยุธยา!M354"")"),0.0)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IFERROR(__xludf.DUMMYFUNCTION("IMPORTRANGE(""https://docs.google.com/spreadsheets/d/1SX6NBoVAgQJ6U1MVXOaj8PK2l7WJ3RER9xtqwdhxkhw/edit?usp=sharing"",""พระนครศรีอยุธยา!M355"")"),0.0)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IFERROR(__xludf.DUMMYFUNCTION("IMPORTRANGE(""https://docs.google.com/spreadsheets/d/1SX6NBoVAgQJ6U1MVXOaj8PK2l7WJ3RER9xtqwdhxkhw/edit?usp=sharing"",""พระนครศรีอยุธยา!M356"")"),0.0)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IFERROR(__xludf.DUMMYFUNCTION("IMPORTRANGE(""https://docs.google.com/spreadsheets/d/1SX6NBoVAgQJ6U1MVXOaj8PK2l7WJ3RER9xtqwdhxkhw/edit?usp=sharing"",""พระนครศรีอยุธยา!M357"")"),0.0)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IFERROR(__xludf.DUMMYFUNCTION("IMPORTRANGE(""https://docs.google.com/spreadsheets/d/1SX6NBoVAgQJ6U1MVXOaj8PK2l7WJ3RER9xtqwdhxkhw/edit?usp=sharing"",""พระนครศรีอยุธยา!M358"")"),0.0)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IFERROR(__xludf.DUMMYFUNCTION("IMPORTRANGE(""https://docs.google.com/spreadsheets/d/1SX6NBoVAgQJ6U1MVXOaj8PK2l7WJ3RER9xtqwdhxkhw/edit?usp=sharing"",""พระนครศรีอยุธยา!I359"")"),2147.0)</f>
        <v>2147</v>
      </c>
      <c r="J464" s="301">
        <f>IFERROR(__xludf.DUMMYFUNCTION("IMPORTRANGE(""https://docs.google.com/spreadsheets/d/1SX6NBoVAgQJ6U1MVXOaj8PK2l7WJ3RER9xtqwdhxkhw/edit?usp=sharing"",""พระนครศรีอยุธยา!J359"")"),0.0)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IFERROR(__xludf.DUMMYFUNCTION("IMPORTRANGE(""https://docs.google.com/spreadsheets/d/1SX6NBoVAgQJ6U1MVXOaj8PK2l7WJ3RER9xtqwdhxkhw/edit?usp=sharing"",""พระนครศรีอยุธยา!I360"")"),2147.0)</f>
        <v>2147</v>
      </c>
      <c r="J465" s="453">
        <f>IFERROR(__xludf.DUMMYFUNCTION("IMPORTRANGE(""https://docs.google.com/spreadsheets/d/1SX6NBoVAgQJ6U1MVXOaj8PK2l7WJ3RER9xtqwdhxkhw/edit?usp=sharing"",""พระนครศรีอยุธยา!J360"")"),0.0)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IFERROR(__xludf.DUMMYFUNCTION("IMPORTRANGE(""https://docs.google.com/spreadsheets/d/1SX6NBoVAgQJ6U1MVXOaj8PK2l7WJ3RER9xtqwdhxkhw/edit?usp=sharing"",""พระนครศรีอยุธยา!I361"")"),227.0)</f>
        <v>227</v>
      </c>
      <c r="J466" s="453">
        <f>IFERROR(__xludf.DUMMYFUNCTION("IMPORTRANGE(""https://docs.google.com/spreadsheets/d/1SX6NBoVAgQJ6U1MVXOaj8PK2l7WJ3RER9xtqwdhxkhw/edit?usp=sharing"",""พระนครศรีอยุธยา!J361"")"),0.0)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IFERROR(__xludf.DUMMYFUNCTION("IMPORTRANGE(""https://docs.google.com/spreadsheets/d/1SX6NBoVAgQJ6U1MVXOaj8PK2l7WJ3RER9xtqwdhxkhw/edit?usp=sharing"",""พระนครศรีอยุธยา!I362"")"),0.0)</f>
        <v>0</v>
      </c>
      <c r="J467" s="223">
        <f>IFERROR(__xludf.DUMMYFUNCTION("IMPORTRANGE(""https://docs.google.com/spreadsheets/d/1SX6NBoVAgQJ6U1MVXOaj8PK2l7WJ3RER9xtqwdhxkhw/edit?usp=sharing"",""พระนครศรีอยุธยา!J362"")"),0.0)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IFERROR(__xludf.DUMMYFUNCTION("IMPORTRANGE(""https://docs.google.com/spreadsheets/d/1SX6NBoVAgQJ6U1MVXOaj8PK2l7WJ3RER9xtqwdhxkhw/edit?usp=sharing"",""พระนครศรีอยุธยา!I363"")"),0.0)</f>
        <v>0</v>
      </c>
      <c r="J468" s="223">
        <f>IFERROR(__xludf.DUMMYFUNCTION("IMPORTRANGE(""https://docs.google.com/spreadsheets/d/1SX6NBoVAgQJ6U1MVXOaj8PK2l7WJ3RER9xtqwdhxkhw/edit?usp=sharing"",""พระนครศรีอยุธยา!J363"")"),0.0)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IFERROR(__xludf.DUMMYFUNCTION("IMPORTRANGE(""https://docs.google.com/spreadsheets/d/1SX6NBoVAgQJ6U1MVXOaj8PK2l7WJ3RER9xtqwdhxkhw/edit?usp=sharing"",""พระนครศรีอยุธยา!I364"")"),0.0)</f>
        <v>0</v>
      </c>
      <c r="J469" s="223">
        <f>IFERROR(__xludf.DUMMYFUNCTION("IMPORTRANGE(""https://docs.google.com/spreadsheets/d/1SX6NBoVAgQJ6U1MVXOaj8PK2l7WJ3RER9xtqwdhxkhw/edit?usp=sharing"",""พระนครศรีอยุธยา!J364"")"),0.0)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IFERROR(__xludf.DUMMYFUNCTION("IMPORTRANGE(""https://docs.google.com/spreadsheets/d/1SX6NBoVAgQJ6U1MVXOaj8PK2l7WJ3RER9xtqwdhxkhw/edit?usp=sharing"",""พระนครศรีอยุธยา!I365"")"),0.0)</f>
        <v>0</v>
      </c>
      <c r="J470" s="223">
        <f>IFERROR(__xludf.DUMMYFUNCTION("IMPORTRANGE(""https://docs.google.com/spreadsheets/d/1SX6NBoVAgQJ6U1MVXOaj8PK2l7WJ3RER9xtqwdhxkhw/edit?usp=sharing"",""พระนครศรีอยุธยา!J365"")"),0.0)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IFERROR(__xludf.DUMMYFUNCTION("IMPORTRANGE(""https://docs.google.com/spreadsheets/d/1SX6NBoVAgQJ6U1MVXOaj8PK2l7WJ3RER9xtqwdhxkhw/edit?usp=sharing"",""พระนครศรีอยุธยา!I366"")"),0.0)</f>
        <v>0</v>
      </c>
      <c r="J471" s="223">
        <f>IFERROR(__xludf.DUMMYFUNCTION("IMPORTRANGE(""https://docs.google.com/spreadsheets/d/1SX6NBoVAgQJ6U1MVXOaj8PK2l7WJ3RER9xtqwdhxkhw/edit?usp=sharing"",""พระนครศรีอยุธยา!J366"")"),0.0)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IFERROR(__xludf.DUMMYFUNCTION("IMPORTRANGE(""https://docs.google.com/spreadsheets/d/1SX6NBoVAgQJ6U1MVXOaj8PK2l7WJ3RER9xtqwdhxkhw/edit?usp=sharing"",""พระนครศรีอยุธยา!I367"")"),0.0)</f>
        <v>0</v>
      </c>
      <c r="J472" s="223">
        <f>IFERROR(__xludf.DUMMYFUNCTION("IMPORTRANGE(""https://docs.google.com/spreadsheets/d/1SX6NBoVAgQJ6U1MVXOaj8PK2l7WJ3RER9xtqwdhxkhw/edit?usp=sharing"",""พระนครศรีอยุธยา!J367"")"),0.0)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IFERROR(__xludf.DUMMYFUNCTION("IMPORTRANGE(""https://docs.google.com/spreadsheets/d/1SX6NBoVAgQJ6U1MVXOaj8PK2l7WJ3RER9xtqwdhxkhw/edit?usp=sharing"",""พระนครศรีอยุธยา!I368"")"),2147.0)</f>
        <v>2147</v>
      </c>
      <c r="J473" s="453">
        <f>IFERROR(__xludf.DUMMYFUNCTION("IMPORTRANGE(""https://docs.google.com/spreadsheets/d/1SX6NBoVAgQJ6U1MVXOaj8PK2l7WJ3RER9xtqwdhxkhw/edit?usp=sharing"",""พระนครศรีอยุธยา!J368"")"),0.0)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IFERROR(__xludf.DUMMYFUNCTION("IMPORTRANGE(""https://docs.google.com/spreadsheets/d/1SX6NBoVAgQJ6U1MVXOaj8PK2l7WJ3RER9xtqwdhxkhw/edit?usp=sharing"",""พระนครศรีอยุธยา!I369"")"),227.0)</f>
        <v>227</v>
      </c>
      <c r="J474" s="453">
        <f>IFERROR(__xludf.DUMMYFUNCTION("IMPORTRANGE(""https://docs.google.com/spreadsheets/d/1SX6NBoVAgQJ6U1MVXOaj8PK2l7WJ3RER9xtqwdhxkhw/edit?usp=sharing"",""พระนครศรีอยุธยา!J369"")"),0.0)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IFERROR(__xludf.DUMMYFUNCTION("IMPORTRANGE(""https://docs.google.com/spreadsheets/d/1SX6NBoVAgQJ6U1MVXOaj8PK2l7WJ3RER9xtqwdhxkhw/edit?usp=sharing"",""พระนครศรีอยุธยา!I370"")"),0.0)</f>
        <v>0</v>
      </c>
      <c r="J475" s="223">
        <f>IFERROR(__xludf.DUMMYFUNCTION("IMPORTRANGE(""https://docs.google.com/spreadsheets/d/1SX6NBoVAgQJ6U1MVXOaj8PK2l7WJ3RER9xtqwdhxkhw/edit?usp=sharing"",""พระนครศรีอยุธยา!J370"")"),0.0)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IFERROR(__xludf.DUMMYFUNCTION("IMPORTRANGE(""https://docs.google.com/spreadsheets/d/1SX6NBoVAgQJ6U1MVXOaj8PK2l7WJ3RER9xtqwdhxkhw/edit?usp=sharing"",""พระนครศรีอยุธยา!I371"")"),0.0)</f>
        <v>0</v>
      </c>
      <c r="J476" s="223">
        <f>IFERROR(__xludf.DUMMYFUNCTION("IMPORTRANGE(""https://docs.google.com/spreadsheets/d/1SX6NBoVAgQJ6U1MVXOaj8PK2l7WJ3RER9xtqwdhxkhw/edit?usp=sharing"",""พระนครศรีอยุธยา!J371"")"),0.0)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IFERROR(__xludf.DUMMYFUNCTION("IMPORTRANGE(""https://docs.google.com/spreadsheets/d/1SX6NBoVAgQJ6U1MVXOaj8PK2l7WJ3RER9xtqwdhxkhw/edit?usp=sharing"",""พระนครศรีอยุธยา!I372"")"),0.0)</f>
        <v>0</v>
      </c>
      <c r="J477" s="223">
        <f>IFERROR(__xludf.DUMMYFUNCTION("IMPORTRANGE(""https://docs.google.com/spreadsheets/d/1SX6NBoVAgQJ6U1MVXOaj8PK2l7WJ3RER9xtqwdhxkhw/edit?usp=sharing"",""พระนครศรีอยุธยา!J372"")"),0.0)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IFERROR(__xludf.DUMMYFUNCTION("IMPORTRANGE(""https://docs.google.com/spreadsheets/d/1SX6NBoVAgQJ6U1MVXOaj8PK2l7WJ3RER9xtqwdhxkhw/edit?usp=sharing"",""พระนครศรีอยุธยา!I373"")"),0.0)</f>
        <v>0</v>
      </c>
      <c r="J478" s="223">
        <f>IFERROR(__xludf.DUMMYFUNCTION("IMPORTRANGE(""https://docs.google.com/spreadsheets/d/1SX6NBoVAgQJ6U1MVXOaj8PK2l7WJ3RER9xtqwdhxkhw/edit?usp=sharing"",""พระนครศรีอยุธยา!J373"")"),0.0)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IFERROR(__xludf.DUMMYFUNCTION("IMPORTRANGE(""https://docs.google.com/spreadsheets/d/1SX6NBoVAgQJ6U1MVXOaj8PK2l7WJ3RER9xtqwdhxkhw/edit?usp=sharing"",""พระนครศรีอยุธยา!I374"")"),0.0)</f>
        <v>0</v>
      </c>
      <c r="J479" s="223">
        <f>IFERROR(__xludf.DUMMYFUNCTION("IMPORTRANGE(""https://docs.google.com/spreadsheets/d/1SX6NBoVAgQJ6U1MVXOaj8PK2l7WJ3RER9xtqwdhxkhw/edit?usp=sharing"",""พระนครศรีอยุธยา!J374"")"),0.0)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IFERROR(__xludf.DUMMYFUNCTION("IMPORTRANGE(""https://docs.google.com/spreadsheets/d/1SX6NBoVAgQJ6U1MVXOaj8PK2l7WJ3RER9xtqwdhxkhw/edit?usp=sharing"",""พระนครศรีอยุธยา!I375"")"),0.0)</f>
        <v>0</v>
      </c>
      <c r="J480" s="223">
        <f>IFERROR(__xludf.DUMMYFUNCTION("IMPORTRANGE(""https://docs.google.com/spreadsheets/d/1SX6NBoVAgQJ6U1MVXOaj8PK2l7WJ3RER9xtqwdhxkhw/edit?usp=sharing"",""พระนครศรีอยุธยา!J375"")"),0.0)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IFERROR(__xludf.DUMMYFUNCTION("IMPORTRANGE(""https://docs.google.com/spreadsheets/d/1SX6NBoVAgQJ6U1MVXOaj8PK2l7WJ3RER9xtqwdhxkhw/edit?usp=sharing"",""พระนครศรีอยุธยา!I376"")"),2147.0)</f>
        <v>2147</v>
      </c>
      <c r="J481" s="453">
        <f>IFERROR(__xludf.DUMMYFUNCTION("IMPORTRANGE(""https://docs.google.com/spreadsheets/d/1SX6NBoVAgQJ6U1MVXOaj8PK2l7WJ3RER9xtqwdhxkhw/edit?usp=sharing"",""พระนครศรีอยุธยา!J376"")"),0.0)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IFERROR(__xludf.DUMMYFUNCTION("IMPORTRANGE(""https://docs.google.com/spreadsheets/d/1SX6NBoVAgQJ6U1MVXOaj8PK2l7WJ3RER9xtqwdhxkhw/edit?usp=sharing"",""พระนครศรีอยุธยา!I377"")"),227.0)</f>
        <v>227</v>
      </c>
      <c r="J482" s="453">
        <f>IFERROR(__xludf.DUMMYFUNCTION("IMPORTRANGE(""https://docs.google.com/spreadsheets/d/1SX6NBoVAgQJ6U1MVXOaj8PK2l7WJ3RER9xtqwdhxkhw/edit?usp=sharing"",""พระนครศรีอยุธยา!J377"")"),0.0)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IFERROR(__xludf.DUMMYFUNCTION("IMPORTRANGE(""https://docs.google.com/spreadsheets/d/1SX6NBoVAgQJ6U1MVXOaj8PK2l7WJ3RER9xtqwdhxkhw/edit?usp=sharing"",""พระนครศรีอยุธยา!I378"")"),0.0)</f>
        <v>0</v>
      </c>
      <c r="J483" s="223">
        <f>IFERROR(__xludf.DUMMYFUNCTION("IMPORTRANGE(""https://docs.google.com/spreadsheets/d/1SX6NBoVAgQJ6U1MVXOaj8PK2l7WJ3RER9xtqwdhxkhw/edit?usp=sharing"",""พระนครศรีอยุธยา!J378"")"),0.0)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IFERROR(__xludf.DUMMYFUNCTION("IMPORTRANGE(""https://docs.google.com/spreadsheets/d/1SX6NBoVAgQJ6U1MVXOaj8PK2l7WJ3RER9xtqwdhxkhw/edit?usp=sharing"",""พระนครศรีอยุธยา!I379"")"),0.0)</f>
        <v>0</v>
      </c>
      <c r="J484" s="223">
        <f>IFERROR(__xludf.DUMMYFUNCTION("IMPORTRANGE(""https://docs.google.com/spreadsheets/d/1SX6NBoVAgQJ6U1MVXOaj8PK2l7WJ3RER9xtqwdhxkhw/edit?usp=sharing"",""พระนครศรีอยุธยา!J379"")"),0.0)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IFERROR(__xludf.DUMMYFUNCTION("IMPORTRANGE(""https://docs.google.com/spreadsheets/d/1SX6NBoVAgQJ6U1MVXOaj8PK2l7WJ3RER9xtqwdhxkhw/edit?usp=sharing"",""พระนครศรีอยุธยา!I380"")"),0.0)</f>
        <v>0</v>
      </c>
      <c r="J485" s="223">
        <f>IFERROR(__xludf.DUMMYFUNCTION("IMPORTRANGE(""https://docs.google.com/spreadsheets/d/1SX6NBoVAgQJ6U1MVXOaj8PK2l7WJ3RER9xtqwdhxkhw/edit?usp=sharing"",""พระนครศรีอยุธยา!J380"")"),0.0)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IFERROR(__xludf.DUMMYFUNCTION("IMPORTRANGE(""https://docs.google.com/spreadsheets/d/1SX6NBoVAgQJ6U1MVXOaj8PK2l7WJ3RER9xtqwdhxkhw/edit?usp=sharing"",""พระนครศรีอยุธยา!I381"")"),0.0)</f>
        <v>0</v>
      </c>
      <c r="J486" s="223">
        <f>IFERROR(__xludf.DUMMYFUNCTION("IMPORTRANGE(""https://docs.google.com/spreadsheets/d/1SX6NBoVAgQJ6U1MVXOaj8PK2l7WJ3RER9xtqwdhxkhw/edit?usp=sharing"",""พระนครศรีอยุธยา!J381"")"),0.0)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IFERROR(__xludf.DUMMYFUNCTION("IMPORTRANGE(""https://docs.google.com/spreadsheets/d/1SX6NBoVAgQJ6U1MVXOaj8PK2l7WJ3RER9xtqwdhxkhw/edit?usp=sharing"",""พระนครศรีอยุธยา!I382"")"),0.0)</f>
        <v>0</v>
      </c>
      <c r="J487" s="453">
        <f>IFERROR(__xludf.DUMMYFUNCTION("IMPORTRANGE(""https://docs.google.com/spreadsheets/d/1SX6NBoVAgQJ6U1MVXOaj8PK2l7WJ3RER9xtqwdhxkhw/edit?usp=sharing"",""พระนครศรีอยุธยา!J382"")"),0.0)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IFERROR(__xludf.DUMMYFUNCTION("IMPORTRANGE(""https://docs.google.com/spreadsheets/d/1SX6NBoVAgQJ6U1MVXOaj8PK2l7WJ3RER9xtqwdhxkhw/edit?usp=sharing"",""พระนครศรีอยุธยา!I383"")"),0.0)</f>
        <v>0</v>
      </c>
      <c r="J488" s="453">
        <f>IFERROR(__xludf.DUMMYFUNCTION("IMPORTRANGE(""https://docs.google.com/spreadsheets/d/1SX6NBoVAgQJ6U1MVXOaj8PK2l7WJ3RER9xtqwdhxkhw/edit?usp=sharing"",""พระนครศรีอยุธยา!J383"")"),0.0)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IFERROR(__xludf.DUMMYFUNCTION("IMPORTRANGE(""https://docs.google.com/spreadsheets/d/1SX6NBoVAgQJ6U1MVXOaj8PK2l7WJ3RER9xtqwdhxkhw/edit?usp=sharing"",""พระนครศรีอยุธยา!I384"")"),0.0)</f>
        <v>0</v>
      </c>
      <c r="J489" s="223">
        <f>IFERROR(__xludf.DUMMYFUNCTION("IMPORTRANGE(""https://docs.google.com/spreadsheets/d/1SX6NBoVAgQJ6U1MVXOaj8PK2l7WJ3RER9xtqwdhxkhw/edit?usp=sharing"",""พระนครศรีอยุธยา!J384"")"),0.0)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IFERROR(__xludf.DUMMYFUNCTION("IMPORTRANGE(""https://docs.google.com/spreadsheets/d/1SX6NBoVAgQJ6U1MVXOaj8PK2l7WJ3RER9xtqwdhxkhw/edit?usp=sharing"",""พระนครศรีอยุธยา!I385"")"),0.0)</f>
        <v>0</v>
      </c>
      <c r="J490" s="223">
        <f>IFERROR(__xludf.DUMMYFUNCTION("IMPORTRANGE(""https://docs.google.com/spreadsheets/d/1SX6NBoVAgQJ6U1MVXOaj8PK2l7WJ3RER9xtqwdhxkhw/edit?usp=sharing"",""พระนครศรีอยุธยา!J385"")"),0.0)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IFERROR(__xludf.DUMMYFUNCTION("IMPORTRANGE(""https://docs.google.com/spreadsheets/d/1SX6NBoVAgQJ6U1MVXOaj8PK2l7WJ3RER9xtqwdhxkhw/edit?usp=sharing"",""พระนครศรีอยุธยา!I386"")"),0.0)</f>
        <v>0</v>
      </c>
      <c r="J491" s="223">
        <f>IFERROR(__xludf.DUMMYFUNCTION("IMPORTRANGE(""https://docs.google.com/spreadsheets/d/1SX6NBoVAgQJ6U1MVXOaj8PK2l7WJ3RER9xtqwdhxkhw/edit?usp=sharing"",""พระนครศรีอยุธยา!J386"")"),0.0)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IFERROR(__xludf.DUMMYFUNCTION("IMPORTRANGE(""https://docs.google.com/spreadsheets/d/1SX6NBoVAgQJ6U1MVXOaj8PK2l7WJ3RER9xtqwdhxkhw/edit?usp=sharing"",""พระนครศรีอยุธยา!I387"")"),0.0)</f>
        <v>0</v>
      </c>
      <c r="J492" s="223">
        <f>IFERROR(__xludf.DUMMYFUNCTION("IMPORTRANGE(""https://docs.google.com/spreadsheets/d/1SX6NBoVAgQJ6U1MVXOaj8PK2l7WJ3RER9xtqwdhxkhw/edit?usp=sharing"",""พระนครศรีอยุธยา!J387"")"),0.0)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IFERROR(__xludf.DUMMYFUNCTION("IMPORTRANGE(""https://docs.google.com/spreadsheets/d/1SX6NBoVAgQJ6U1MVXOaj8PK2l7WJ3RER9xtqwdhxkhw/edit?usp=sharing"",""พระนครศรีอยุธยา!I388"")"),0.0)</f>
        <v>0</v>
      </c>
      <c r="J493" s="223">
        <f>IFERROR(__xludf.DUMMYFUNCTION("IMPORTRANGE(""https://docs.google.com/spreadsheets/d/1SX6NBoVAgQJ6U1MVXOaj8PK2l7WJ3RER9xtqwdhxkhw/edit?usp=sharing"",""พระนครศรีอยุธยา!J388"")"),0.0)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IFERROR(__xludf.DUMMYFUNCTION("IMPORTRANGE(""https://docs.google.com/spreadsheets/d/1SX6NBoVAgQJ6U1MVXOaj8PK2l7WJ3RER9xtqwdhxkhw/edit?usp=sharing"",""พระนครศรีอยุธยา!I389"")"),0.0)</f>
        <v>0</v>
      </c>
      <c r="J494" s="469">
        <f>IFERROR(__xludf.DUMMYFUNCTION("IMPORTRANGE(""https://docs.google.com/spreadsheets/d/1SX6NBoVAgQJ6U1MVXOaj8PK2l7WJ3RER9xtqwdhxkhw/edit?usp=sharing"",""พระนครศรีอยุธยา!J389"")"),0.0)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IFERROR(__xludf.DUMMYFUNCTION("IMPORTRANGE(""https://docs.google.com/spreadsheets/d/1SX6NBoVAgQJ6U1MVXOaj8PK2l7WJ3RER9xtqwdhxkhw/edit?usp=sharing"",""พระนครศรีอยุธยา!I390"")"),0.0)</f>
        <v>0</v>
      </c>
      <c r="J495" s="469">
        <f>IFERROR(__xludf.DUMMYFUNCTION("IMPORTRANGE(""https://docs.google.com/spreadsheets/d/1SX6NBoVAgQJ6U1MVXOaj8PK2l7WJ3RER9xtqwdhxkhw/edit?usp=sharing"",""พระนครศรีอยุธยา!J390"")"),0.0)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IFERROR(__xludf.DUMMYFUNCTION("IMPORTRANGE(""https://docs.google.com/spreadsheets/d/1SX6NBoVAgQJ6U1MVXOaj8PK2l7WJ3RER9xtqwdhxkhw/edit?usp=sharing"",""พระนครศรีอยุธยา!I391"")"),0.0)</f>
        <v>0</v>
      </c>
      <c r="J496" s="469">
        <f>IFERROR(__xludf.DUMMYFUNCTION("IMPORTRANGE(""https://docs.google.com/spreadsheets/d/1SX6NBoVAgQJ6U1MVXOaj8PK2l7WJ3RER9xtqwdhxkhw/edit?usp=sharing"",""พระนครศรีอยุธยา!J391"")"),0.0)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IFERROR(__xludf.DUMMYFUNCTION("IMPORTRANGE(""https://docs.google.com/spreadsheets/d/1SX6NBoVAgQJ6U1MVXOaj8PK2l7WJ3RER9xtqwdhxkhw/edit?usp=sharing"",""พระนครศรีอยุธยา!I392"")"),0.0)</f>
        <v>0</v>
      </c>
      <c r="J497" s="476">
        <f>IFERROR(__xludf.DUMMYFUNCTION("IMPORTRANGE(""https://docs.google.com/spreadsheets/d/1SX6NBoVAgQJ6U1MVXOaj8PK2l7WJ3RER9xtqwdhxkhw/edit?usp=sharing"",""พระนครศรีอยุธยา!J392"")"),0.0)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IFERROR(__xludf.DUMMYFUNCTION("IMPORTRANGE(""https://docs.google.com/spreadsheets/d/1SX6NBoVAgQJ6U1MVXOaj8PK2l7WJ3RER9xtqwdhxkhw/edit?usp=sharing"",""พระนครศรีอยุธยา!I393"")"),0.0)</f>
        <v>0</v>
      </c>
      <c r="J498" s="453">
        <f>IFERROR(__xludf.DUMMYFUNCTION("IMPORTRANGE(""https://docs.google.com/spreadsheets/d/1SX6NBoVAgQJ6U1MVXOaj8PK2l7WJ3RER9xtqwdhxkhw/edit?usp=sharing"",""พระนครศรีอยุธยา!J393"")"),0.0)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IFERROR(__xludf.DUMMYFUNCTION("IMPORTRANGE(""https://docs.google.com/spreadsheets/d/1SX6NBoVAgQJ6U1MVXOaj8PK2l7WJ3RER9xtqwdhxkhw/edit?usp=sharing"",""พระนครศรีอยุธยา!I394"")"),0.0)</f>
        <v>0</v>
      </c>
      <c r="J499" s="453">
        <f>IFERROR(__xludf.DUMMYFUNCTION("IMPORTRANGE(""https://docs.google.com/spreadsheets/d/1SX6NBoVAgQJ6U1MVXOaj8PK2l7WJ3RER9xtqwdhxkhw/edit?usp=sharing"",""พระนครศรีอยุธยา!J394"")"),0.0)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IFERROR(__xludf.DUMMYFUNCTION("IMPORTRANGE(""https://docs.google.com/spreadsheets/d/1SX6NBoVAgQJ6U1MVXOaj8PK2l7WJ3RER9xtqwdhxkhw/edit?usp=sharing"",""พระนครศรีอยุธยา!I395"")"),0.0)</f>
        <v>0</v>
      </c>
      <c r="J500" s="195">
        <f>IFERROR(__xludf.DUMMYFUNCTION("IMPORTRANGE(""https://docs.google.com/spreadsheets/d/1SX6NBoVAgQJ6U1MVXOaj8PK2l7WJ3RER9xtqwdhxkhw/edit?usp=sharing"",""พระนครศรีอยุธยา!J395"")"),0.0)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IFERROR(__xludf.DUMMYFUNCTION("IMPORTRANGE(""https://docs.google.com/spreadsheets/d/1SX6NBoVAgQJ6U1MVXOaj8PK2l7WJ3RER9xtqwdhxkhw/edit?usp=sharing"",""พระนครศรีอยุธยา!I396"")"),0.0)</f>
        <v>0</v>
      </c>
      <c r="J501" s="195">
        <f>IFERROR(__xludf.DUMMYFUNCTION("IMPORTRANGE(""https://docs.google.com/spreadsheets/d/1SX6NBoVAgQJ6U1MVXOaj8PK2l7WJ3RER9xtqwdhxkhw/edit?usp=sharing"",""พระนครศรีอยุธยา!J396"")"),0.0)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IFERROR(__xludf.DUMMYFUNCTION("IMPORTRANGE(""https://docs.google.com/spreadsheets/d/1SX6NBoVAgQJ6U1MVXOaj8PK2l7WJ3RER9xtqwdhxkhw/edit?usp=sharing"",""พระนครศรีอยุธยา!I397"")"),0.0)</f>
        <v>0</v>
      </c>
      <c r="J502" s="223">
        <f>IFERROR(__xludf.DUMMYFUNCTION("IMPORTRANGE(""https://docs.google.com/spreadsheets/d/1SX6NBoVAgQJ6U1MVXOaj8PK2l7WJ3RER9xtqwdhxkhw/edit?usp=sharing"",""พระนครศรีอยุธยา!J397"")"),0.0)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IFERROR(__xludf.DUMMYFUNCTION("IMPORTRANGE(""https://docs.google.com/spreadsheets/d/1SX6NBoVAgQJ6U1MVXOaj8PK2l7WJ3RER9xtqwdhxkhw/edit?usp=sharing"",""พระนครศรีอยุธยา!I398"")"),0.0)</f>
        <v>0</v>
      </c>
      <c r="J503" s="232">
        <f>IFERROR(__xludf.DUMMYFUNCTION("IMPORTRANGE(""https://docs.google.com/spreadsheets/d/1SX6NBoVAgQJ6U1MVXOaj8PK2l7WJ3RER9xtqwdhxkhw/edit?usp=sharing"",""พระนครศรีอยุธยา!J398"")"),0.0)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IFERROR(__xludf.DUMMYFUNCTION("IMPORTRANGE(""https://docs.google.com/spreadsheets/d/1SX6NBoVAgQJ6U1MVXOaj8PK2l7WJ3RER9xtqwdhxkhw/edit?usp=sharing"",""พระนครศรีอยุธยา!I399"")"),0.0)</f>
        <v>0</v>
      </c>
      <c r="J504" s="223">
        <f>IFERROR(__xludf.DUMMYFUNCTION("IMPORTRANGE(""https://docs.google.com/spreadsheets/d/1SX6NBoVAgQJ6U1MVXOaj8PK2l7WJ3RER9xtqwdhxkhw/edit?usp=sharing"",""พระนครศรีอยุธยา!J399"")"),0.0)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IFERROR(__xludf.DUMMYFUNCTION("IMPORTRANGE(""https://docs.google.com/spreadsheets/d/1SX6NBoVAgQJ6U1MVXOaj8PK2l7WJ3RER9xtqwdhxkhw/edit?usp=sharing"",""พระนครศรีอยุธยา!I400"")"),0.0)</f>
        <v>0</v>
      </c>
      <c r="J505" s="232">
        <f>IFERROR(__xludf.DUMMYFUNCTION("IMPORTRANGE(""https://docs.google.com/spreadsheets/d/1SX6NBoVAgQJ6U1MVXOaj8PK2l7WJ3RER9xtqwdhxkhw/edit?usp=sharing"",""พระนครศรีอยุธยา!J400"")"),0.0)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IFERROR(__xludf.DUMMYFUNCTION("IMPORTRANGE(""https://docs.google.com/spreadsheets/d/1SX6NBoVAgQJ6U1MVXOaj8PK2l7WJ3RER9xtqwdhxkhw/edit?usp=sharing"",""พระนครศรีอยุธยา!I401"")"),0.0)</f>
        <v>0</v>
      </c>
      <c r="J506" s="223">
        <f>IFERROR(__xludf.DUMMYFUNCTION("IMPORTRANGE(""https://docs.google.com/spreadsheets/d/1SX6NBoVAgQJ6U1MVXOaj8PK2l7WJ3RER9xtqwdhxkhw/edit?usp=sharing"",""พระนครศรีอยุธยา!J401"")"),0.0)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IFERROR(__xludf.DUMMYFUNCTION("IMPORTRANGE(""https://docs.google.com/spreadsheets/d/1SX6NBoVAgQJ6U1MVXOaj8PK2l7WJ3RER9xtqwdhxkhw/edit?usp=sharing"",""พระนครศรีอยุธยา!I402"")"),0.0)</f>
        <v>0</v>
      </c>
      <c r="J507" s="232">
        <f>IFERROR(__xludf.DUMMYFUNCTION("IMPORTRANGE(""https://docs.google.com/spreadsheets/d/1SX6NBoVAgQJ6U1MVXOaj8PK2l7WJ3RER9xtqwdhxkhw/edit?usp=sharing"",""พระนครศรีอยุธยา!J402"")"),0.0)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IFERROR(__xludf.DUMMYFUNCTION("IMPORTRANGE(""https://docs.google.com/spreadsheets/d/1SX6NBoVAgQJ6U1MVXOaj8PK2l7WJ3RER9xtqwdhxkhw/edit?usp=sharing"",""พระนครศรีอยุธยา!I403"")"),0.0)</f>
        <v>0</v>
      </c>
      <c r="J508" s="195">
        <f>IFERROR(__xludf.DUMMYFUNCTION("IMPORTRANGE(""https://docs.google.com/spreadsheets/d/1SX6NBoVAgQJ6U1MVXOaj8PK2l7WJ3RER9xtqwdhxkhw/edit?usp=sharing"",""พระนครศรีอยุธยา!J403"")"),0.0)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IFERROR(__xludf.DUMMYFUNCTION("IMPORTRANGE(""https://docs.google.com/spreadsheets/d/1SX6NBoVAgQJ6U1MVXOaj8PK2l7WJ3RER9xtqwdhxkhw/edit?usp=sharing"",""พระนครศรีอยุธยา!I404"")"),0.0)</f>
        <v>0</v>
      </c>
      <c r="J509" s="195">
        <f>IFERROR(__xludf.DUMMYFUNCTION("IMPORTRANGE(""https://docs.google.com/spreadsheets/d/1SX6NBoVAgQJ6U1MVXOaj8PK2l7WJ3RER9xtqwdhxkhw/edit?usp=sharing"",""พระนครศรีอยุธยา!J404"")"),0.0)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IFERROR(__xludf.DUMMYFUNCTION("IMPORTRANGE(""https://docs.google.com/spreadsheets/d/1SX6NBoVAgQJ6U1MVXOaj8PK2l7WJ3RER9xtqwdhxkhw/edit?usp=sharing"",""พระนครศรีอยุธยา!I405"")"),0.0)</f>
        <v>0</v>
      </c>
      <c r="J510" s="232">
        <f>IFERROR(__xludf.DUMMYFUNCTION("IMPORTRANGE(""https://docs.google.com/spreadsheets/d/1SX6NBoVAgQJ6U1MVXOaj8PK2l7WJ3RER9xtqwdhxkhw/edit?usp=sharing"",""พระนครศรีอยุธยา!J405"")"),0.0)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IFERROR(__xludf.DUMMYFUNCTION("IMPORTRANGE(""https://docs.google.com/spreadsheets/d/1SX6NBoVAgQJ6U1MVXOaj8PK2l7WJ3RER9xtqwdhxkhw/edit?usp=sharing"",""พระนครศรีอยุธยา!I406"")"),0.0)</f>
        <v>0</v>
      </c>
      <c r="J511" s="232">
        <f>IFERROR(__xludf.DUMMYFUNCTION("IMPORTRANGE(""https://docs.google.com/spreadsheets/d/1SX6NBoVAgQJ6U1MVXOaj8PK2l7WJ3RER9xtqwdhxkhw/edit?usp=sharing"",""พระนครศรีอยุธยา!J406"")"),0.0)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IFERROR(__xludf.DUMMYFUNCTION("IMPORTRANGE(""https://docs.google.com/spreadsheets/d/1SX6NBoVAgQJ6U1MVXOaj8PK2l7WJ3RER9xtqwdhxkhw/edit?usp=sharing"",""พระนครศรีอยุธยา!I407"")"),0.0)</f>
        <v>0</v>
      </c>
      <c r="J512" s="232">
        <f>IFERROR(__xludf.DUMMYFUNCTION("IMPORTRANGE(""https://docs.google.com/spreadsheets/d/1SX6NBoVAgQJ6U1MVXOaj8PK2l7WJ3RER9xtqwdhxkhw/edit?usp=sharing"",""พระนครศรีอยุธยา!J407"")"),0.0)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IFERROR(__xludf.DUMMYFUNCTION("IMPORTRANGE(""https://docs.google.com/spreadsheets/d/1SX6NBoVAgQJ6U1MVXOaj8PK2l7WJ3RER9xtqwdhxkhw/edit?usp=sharing"",""พระนครศรีอยุธยา!I408"")"),0.0)</f>
        <v>0</v>
      </c>
      <c r="J513" s="232">
        <f>IFERROR(__xludf.DUMMYFUNCTION("IMPORTRANGE(""https://docs.google.com/spreadsheets/d/1SX6NBoVAgQJ6U1MVXOaj8PK2l7WJ3RER9xtqwdhxkhw/edit?usp=sharing"",""พระนครศรีอยุธยา!J408"")"),0.0)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IFERROR(__xludf.DUMMYFUNCTION("IMPORTRANGE(""https://docs.google.com/spreadsheets/d/1SX6NBoVAgQJ6U1MVXOaj8PK2l7WJ3RER9xtqwdhxkhw/edit?usp=sharing"",""พระนครศรีอยุธยา!I409"")"),0.0)</f>
        <v>0</v>
      </c>
      <c r="J514" s="232">
        <f>IFERROR(__xludf.DUMMYFUNCTION("IMPORTRANGE(""https://docs.google.com/spreadsheets/d/1SX6NBoVAgQJ6U1MVXOaj8PK2l7WJ3RER9xtqwdhxkhw/edit?usp=sharing"",""พระนครศรีอยุธยา!J409"")"),0.0)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IFERROR(__xludf.DUMMYFUNCTION("IMPORTRANGE(""https://docs.google.com/spreadsheets/d/1SX6NBoVAgQJ6U1MVXOaj8PK2l7WJ3RER9xtqwdhxkhw/edit?usp=sharing"",""พระนครศรีอยุธยา!I410"")"),0.0)</f>
        <v>0</v>
      </c>
      <c r="J515" s="232">
        <f>IFERROR(__xludf.DUMMYFUNCTION("IMPORTRANGE(""https://docs.google.com/spreadsheets/d/1SX6NBoVAgQJ6U1MVXOaj8PK2l7WJ3RER9xtqwdhxkhw/edit?usp=sharing"",""พระนครศรีอยุธยา!J410"")"),0.0)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IFERROR(__xludf.DUMMYFUNCTION("IMPORTRANGE(""https://docs.google.com/spreadsheets/d/1SX6NBoVAgQJ6U1MVXOaj8PK2l7WJ3RER9xtqwdhxkhw/edit?usp=sharing"",""พระนครศรีอยุธยา!I411"")"),0.0)</f>
        <v>0</v>
      </c>
      <c r="J516" s="301">
        <f>IFERROR(__xludf.DUMMYFUNCTION("IMPORTRANGE(""https://docs.google.com/spreadsheets/d/1SX6NBoVAgQJ6U1MVXOaj8PK2l7WJ3RER9xtqwdhxkhw/edit?usp=sharing"",""พระนครศรีอยุธยา!J411"")"),0.0)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IFERROR(__xludf.DUMMYFUNCTION("IMPORTRANGE(""https://docs.google.com/spreadsheets/d/1SX6NBoVAgQJ6U1MVXOaj8PK2l7WJ3RER9xtqwdhxkhw/edit?usp=sharing"",""พระนครศรีอยุธยา!I412"")"),0.0)</f>
        <v>0</v>
      </c>
      <c r="J517" s="317">
        <f>IFERROR(__xludf.DUMMYFUNCTION("IMPORTRANGE(""https://docs.google.com/spreadsheets/d/1SX6NBoVAgQJ6U1MVXOaj8PK2l7WJ3RER9xtqwdhxkhw/edit?usp=sharing"",""พระนครศรีอยุธยา!J412"")"),0.0)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IFERROR(__xludf.DUMMYFUNCTION("IMPORTRANGE(""https://docs.google.com/spreadsheets/d/1SX6NBoVAgQJ6U1MVXOaj8PK2l7WJ3RER9xtqwdhxkhw/edit?usp=sharing"",""พระนครศรีอยุธยา!I413"")"),0.0)</f>
        <v>0</v>
      </c>
      <c r="J518" s="317">
        <f>IFERROR(__xludf.DUMMYFUNCTION("IMPORTRANGE(""https://docs.google.com/spreadsheets/d/1SX6NBoVAgQJ6U1MVXOaj8PK2l7WJ3RER9xtqwdhxkhw/edit?usp=sharing"",""พระนครศรีอยุธยา!J413"")"),0.0)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IFERROR(__xludf.DUMMYFUNCTION("IMPORTRANGE(""https://docs.google.com/spreadsheets/d/1SX6NBoVAgQJ6U1MVXOaj8PK2l7WJ3RER9xtqwdhxkhw/edit?usp=sharing"",""พระนครศรีอยุธยา!I414"")"),0.0)</f>
        <v>0</v>
      </c>
      <c r="J519" s="222">
        <f>IFERROR(__xludf.DUMMYFUNCTION("IMPORTRANGE(""https://docs.google.com/spreadsheets/d/1SX6NBoVAgQJ6U1MVXOaj8PK2l7WJ3RER9xtqwdhxkhw/edit?usp=sharing"",""พระนครศรีอยุธยา!J414"")"),0.0)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IFERROR(__xludf.DUMMYFUNCTION("IMPORTRANGE(""https://docs.google.com/spreadsheets/d/1SX6NBoVAgQJ6U1MVXOaj8PK2l7WJ3RER9xtqwdhxkhw/edit?usp=sharing"",""พระนครศรีอยุธยา!I415"")"),0.0)</f>
        <v>0</v>
      </c>
      <c r="J520" s="222">
        <f>IFERROR(__xludf.DUMMYFUNCTION("IMPORTRANGE(""https://docs.google.com/spreadsheets/d/1SX6NBoVAgQJ6U1MVXOaj8PK2l7WJ3RER9xtqwdhxkhw/edit?usp=sharing"",""พระนครศรีอยุธยา!J415"")"),0.0)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IFERROR(__xludf.DUMMYFUNCTION("IMPORTRANGE(""https://docs.google.com/spreadsheets/d/1SX6NBoVAgQJ6U1MVXOaj8PK2l7WJ3RER9xtqwdhxkhw/edit?usp=sharing"",""พระนครศรีอยุธยา!I416"")"),0.0)</f>
        <v>0</v>
      </c>
      <c r="J521" s="222">
        <f>IFERROR(__xludf.DUMMYFUNCTION("IMPORTRANGE(""https://docs.google.com/spreadsheets/d/1SX6NBoVAgQJ6U1MVXOaj8PK2l7WJ3RER9xtqwdhxkhw/edit?usp=sharing"",""พระนครศรีอยุธยา!J416"")"),0.0)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IFERROR(__xludf.DUMMYFUNCTION("IMPORTRANGE(""https://docs.google.com/spreadsheets/d/1SX6NBoVAgQJ6U1MVXOaj8PK2l7WJ3RER9xtqwdhxkhw/edit?usp=sharing"",""พระนครศรีอยุธยา!I417"")"),0.0)</f>
        <v>0</v>
      </c>
      <c r="J522" s="222">
        <f>IFERROR(__xludf.DUMMYFUNCTION("IMPORTRANGE(""https://docs.google.com/spreadsheets/d/1SX6NBoVAgQJ6U1MVXOaj8PK2l7WJ3RER9xtqwdhxkhw/edit?usp=sharing"",""พระนครศรีอยุธยา!J417"")"),0.0)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IFERROR(__xludf.DUMMYFUNCTION("IMPORTRANGE(""https://docs.google.com/spreadsheets/d/1SX6NBoVAgQJ6U1MVXOaj8PK2l7WJ3RER9xtqwdhxkhw/edit?usp=sharing"",""พระนครศรีอยุธยา!I418"")"),0.0)</f>
        <v>0</v>
      </c>
      <c r="J523" s="222">
        <f>IFERROR(__xludf.DUMMYFUNCTION("IMPORTRANGE(""https://docs.google.com/spreadsheets/d/1SX6NBoVAgQJ6U1MVXOaj8PK2l7WJ3RER9xtqwdhxkhw/edit?usp=sharing"",""พระนครศรีอยุธยา!J418"")"),0.0)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IFERROR(__xludf.DUMMYFUNCTION("IMPORTRANGE(""https://docs.google.com/spreadsheets/d/1SX6NBoVAgQJ6U1MVXOaj8PK2l7WJ3RER9xtqwdhxkhw/edit?usp=sharing"",""พระนครศรีอยุธยา!I419"")"),0.0)</f>
        <v>0</v>
      </c>
      <c r="J524" s="222">
        <f>IFERROR(__xludf.DUMMYFUNCTION("IMPORTRANGE(""https://docs.google.com/spreadsheets/d/1SX6NBoVAgQJ6U1MVXOaj8PK2l7WJ3RER9xtqwdhxkhw/edit?usp=sharing"",""พระนครศรีอยุธยา!J419"")"),0.0)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IFERROR(__xludf.DUMMYFUNCTION("IMPORTRANGE(""https://docs.google.com/spreadsheets/d/1SX6NBoVAgQJ6U1MVXOaj8PK2l7WJ3RER9xtqwdhxkhw/edit?usp=sharing"",""พระนครศรีอยุธยา!I420"")"),0.0)</f>
        <v>0</v>
      </c>
      <c r="J525" s="317">
        <f>IFERROR(__xludf.DUMMYFUNCTION("IMPORTRANGE(""https://docs.google.com/spreadsheets/d/1SX6NBoVAgQJ6U1MVXOaj8PK2l7WJ3RER9xtqwdhxkhw/edit?usp=sharing"",""พระนครศรีอยุธยา!J420"")"),0.0)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IFERROR(__xludf.DUMMYFUNCTION("IMPORTRANGE(""https://docs.google.com/spreadsheets/d/1SX6NBoVAgQJ6U1MVXOaj8PK2l7WJ3RER9xtqwdhxkhw/edit?usp=sharing"",""พระนครศรีอยุธยา!I421"")"),0.0)</f>
        <v>0</v>
      </c>
      <c r="J526" s="317">
        <f>IFERROR(__xludf.DUMMYFUNCTION("IMPORTRANGE(""https://docs.google.com/spreadsheets/d/1SX6NBoVAgQJ6U1MVXOaj8PK2l7WJ3RER9xtqwdhxkhw/edit?usp=sharing"",""พระนครศรีอยุธยา!J421"")"),0.0)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IFERROR(__xludf.DUMMYFUNCTION("IMPORTRANGE(""https://docs.google.com/spreadsheets/d/1SX6NBoVAgQJ6U1MVXOaj8PK2l7WJ3RER9xtqwdhxkhw/edit?usp=sharing"",""พระนครศรีอยุธยา!I422"")"),0.0)</f>
        <v>0</v>
      </c>
      <c r="J527" s="232">
        <f>IFERROR(__xludf.DUMMYFUNCTION("IMPORTRANGE(""https://docs.google.com/spreadsheets/d/1SX6NBoVAgQJ6U1MVXOaj8PK2l7WJ3RER9xtqwdhxkhw/edit?usp=sharing"",""พระนครศรีอยุธยา!J422"")"),0.0)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IFERROR(__xludf.DUMMYFUNCTION("IMPORTRANGE(""https://docs.google.com/spreadsheets/d/1SX6NBoVAgQJ6U1MVXOaj8PK2l7WJ3RER9xtqwdhxkhw/edit?usp=sharing"",""พระนครศรีอยุธยา!I423"")"),0.0)</f>
        <v>0</v>
      </c>
      <c r="J528" s="232">
        <f>IFERROR(__xludf.DUMMYFUNCTION("IMPORTRANGE(""https://docs.google.com/spreadsheets/d/1SX6NBoVAgQJ6U1MVXOaj8PK2l7WJ3RER9xtqwdhxkhw/edit?usp=sharing"",""พระนครศรีอยุธยา!J423"")"),0.0)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IFERROR(__xludf.DUMMYFUNCTION("IMPORTRANGE(""https://docs.google.com/spreadsheets/d/1SX6NBoVAgQJ6U1MVXOaj8PK2l7WJ3RER9xtqwdhxkhw/edit?usp=sharing"",""พระนครศรีอยุธยา!I424"")"),0.0)</f>
        <v>0</v>
      </c>
      <c r="J529" s="232">
        <f>IFERROR(__xludf.DUMMYFUNCTION("IMPORTRANGE(""https://docs.google.com/spreadsheets/d/1SX6NBoVAgQJ6U1MVXOaj8PK2l7WJ3RER9xtqwdhxkhw/edit?usp=sharing"",""พระนครศรีอยุธยา!J424"")"),0.0)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IFERROR(__xludf.DUMMYFUNCTION("IMPORTRANGE(""https://docs.google.com/spreadsheets/d/1SX6NBoVAgQJ6U1MVXOaj8PK2l7WJ3RER9xtqwdhxkhw/edit?usp=sharing"",""พระนครศรีอยุธยา!I425"")"),0.0)</f>
        <v>0</v>
      </c>
      <c r="J530" s="232">
        <f>IFERROR(__xludf.DUMMYFUNCTION("IMPORTRANGE(""https://docs.google.com/spreadsheets/d/1SX6NBoVAgQJ6U1MVXOaj8PK2l7WJ3RER9xtqwdhxkhw/edit?usp=sharing"",""พระนครศรีอยุธยา!J425"")"),0.0)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IFERROR(__xludf.DUMMYFUNCTION("IMPORTRANGE(""https://docs.google.com/spreadsheets/d/1SX6NBoVAgQJ6U1MVXOaj8PK2l7WJ3RER9xtqwdhxkhw/edit?usp=sharing"",""พระนครศรีอยุธยา!I426"")"),0.0)</f>
        <v>0</v>
      </c>
      <c r="J531" s="232">
        <f>IFERROR(__xludf.DUMMYFUNCTION("IMPORTRANGE(""https://docs.google.com/spreadsheets/d/1SX6NBoVAgQJ6U1MVXOaj8PK2l7WJ3RER9xtqwdhxkhw/edit?usp=sharing"",""พระนครศรีอยุธยา!J426"")"),0.0)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IFERROR(__xludf.DUMMYFUNCTION("IMPORTRANGE(""https://docs.google.com/spreadsheets/d/1SX6NBoVAgQJ6U1MVXOaj8PK2l7WJ3RER9xtqwdhxkhw/edit?usp=sharing"",""พระนครศรีอยุธยา!I427"")"),0.0)</f>
        <v>0</v>
      </c>
      <c r="J532" s="499">
        <f>IFERROR(__xludf.DUMMYFUNCTION("IMPORTRANGE(""https://docs.google.com/spreadsheets/d/1SX6NBoVAgQJ6U1MVXOaj8PK2l7WJ3RER9xtqwdhxkhw/edit?usp=sharing"",""พระนครศรีอยุธยา!J427"")"),0.0)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IFERROR(__xludf.DUMMYFUNCTION("IMPORTRANGE(""https://docs.google.com/spreadsheets/d/1SX6NBoVAgQJ6U1MVXOaj8PK2l7WJ3RER9xtqwdhxkhw/edit?usp=sharing"",""พระนครศรีอยุธยา!I428"")"),22.0)</f>
        <v>22</v>
      </c>
      <c r="J533" s="443">
        <f>IFERROR(__xludf.DUMMYFUNCTION("IMPORTRANGE(""https://docs.google.com/spreadsheets/d/1SX6NBoVAgQJ6U1MVXOaj8PK2l7WJ3RER9xtqwdhxkhw/edit?usp=sharing"",""พระนครศรีอยุธยา!J428"")"),22.0)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IFERROR(__xludf.DUMMYFUNCTION("IMPORTRANGE(""https://docs.google.com/spreadsheets/d/1SX6NBoVAgQJ6U1MVXOaj8PK2l7WJ3RER9xtqwdhxkhw/edit?usp=sharing"",""พระนครศรีอยุธยา!L428"")"),34340.0)</f>
        <v>34340</v>
      </c>
      <c r="M533" s="445"/>
      <c r="N533" s="445">
        <f>IFERROR(__xludf.DUMMYFUNCTION("IMPORTRANGE(""https://docs.google.com/spreadsheets/d/1SX6NBoVAgQJ6U1MVXOaj8PK2l7WJ3RER9xtqwdhxkhw/edit?usp=sharing"",""พระนครศรีอยุธยา!M428"")"),16984.0)</f>
        <v>16984</v>
      </c>
      <c r="O533" s="445">
        <f t="shared" ref="O533:O537" si="119">+IF(L533&gt;0,N533*100/L533,0)</f>
        <v>49.4583576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IFERROR(__xludf.DUMMYFUNCTION("IMPORTRANGE(""https://docs.google.com/spreadsheets/d/1SX6NBoVAgQJ6U1MVXOaj8PK2l7WJ3RER9xtqwdhxkhw/edit?usp=sharing"",""พระนครศรีอยุธยา!L429"")"),0.0)</f>
        <v>0</v>
      </c>
      <c r="M534" s="197"/>
      <c r="N534" s="203">
        <f>IFERROR(__xludf.DUMMYFUNCTION("IMPORTRANGE(""https://docs.google.com/spreadsheets/d/1SX6NBoVAgQJ6U1MVXOaj8PK2l7WJ3RER9xtqwdhxkhw/edit?usp=sharing"",""พระนครศรีอยุธยา!M429"")"),0.0)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IFERROR(__xludf.DUMMYFUNCTION("IMPORTRANGE(""https://docs.google.com/spreadsheets/d/1SX6NBoVAgQJ6U1MVXOaj8PK2l7WJ3RER9xtqwdhxkhw/edit?usp=sharing"",""พระนครศรีอยุธยา!L430"")"),34340.0)</f>
        <v>34340</v>
      </c>
      <c r="M535" s="198"/>
      <c r="N535" s="203">
        <f>IFERROR(__xludf.DUMMYFUNCTION("IMPORTRANGE(""https://docs.google.com/spreadsheets/d/1SX6NBoVAgQJ6U1MVXOaj8PK2l7WJ3RER9xtqwdhxkhw/edit?usp=sharing"",""พระนครศรีอยุธยา!M430"")"),16984.0)</f>
        <v>16984</v>
      </c>
      <c r="O535" s="203">
        <f t="shared" si="119"/>
        <v>49.4583576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IFERROR(__xludf.DUMMYFUNCTION("IMPORTRANGE(""https://docs.google.com/spreadsheets/d/1SX6NBoVAgQJ6U1MVXOaj8PK2l7WJ3RER9xtqwdhxkhw/edit?usp=sharing"",""พระนครศรีอยุธยา!L431"")"),0.0)</f>
        <v>0</v>
      </c>
      <c r="M536" s="203"/>
      <c r="N536" s="203">
        <f>IFERROR(__xludf.DUMMYFUNCTION("IMPORTRANGE(""https://docs.google.com/spreadsheets/d/1SX6NBoVAgQJ6U1MVXOaj8PK2l7WJ3RER9xtqwdhxkhw/edit?usp=sharing"",""พระนครศรีอยุธยา!M431"")"),0.0)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IFERROR(__xludf.DUMMYFUNCTION("IMPORTRANGE(""https://docs.google.com/spreadsheets/d/1SX6NBoVAgQJ6U1MVXOaj8PK2l7WJ3RER9xtqwdhxkhw/edit?usp=sharing"",""พระนครศรีอยุธยา!L432"")"),34340.0)</f>
        <v>34340</v>
      </c>
      <c r="M537" s="203"/>
      <c r="N537" s="203">
        <f>IFERROR(__xludf.DUMMYFUNCTION("IMPORTRANGE(""https://docs.google.com/spreadsheets/d/1SX6NBoVAgQJ6U1MVXOaj8PK2l7WJ3RER9xtqwdhxkhw/edit?usp=sharing"",""พระนครศรีอยุธยา!M432"")"),16984.0)</f>
        <v>16984</v>
      </c>
      <c r="O537" s="203">
        <f t="shared" si="119"/>
        <v>49.4583576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IFERROR(__xludf.DUMMYFUNCTION("IMPORTRANGE(""https://docs.google.com/spreadsheets/d/1SX6NBoVAgQJ6U1MVXOaj8PK2l7WJ3RER9xtqwdhxkhw/edit?usp=sharing"",""พระนครศรีอยุธยา!M433"")"),16984.0)</f>
        <v>16984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IFERROR(__xludf.DUMMYFUNCTION("IMPORTRANGE(""https://docs.google.com/spreadsheets/d/1SX6NBoVAgQJ6U1MVXOaj8PK2l7WJ3RER9xtqwdhxkhw/edit?usp=sharing"",""พระนครศรีอยุธยา!M434"")"),0.0)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IFERROR(__xludf.DUMMYFUNCTION("IMPORTRANGE(""https://docs.google.com/spreadsheets/d/1SX6NBoVAgQJ6U1MVXOaj8PK2l7WJ3RER9xtqwdhxkhw/edit?usp=sharing"",""พระนครศรีอยุธยา!M435"")"),0.0)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IFERROR(__xludf.DUMMYFUNCTION("IMPORTRANGE(""https://docs.google.com/spreadsheets/d/1SX6NBoVAgQJ6U1MVXOaj8PK2l7WJ3RER9xtqwdhxkhw/edit?usp=sharing"",""พระนครศรีอยุธยา!M436"")"),0.0)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IFERROR(__xludf.DUMMYFUNCTION("IMPORTRANGE(""https://docs.google.com/spreadsheets/d/1SX6NBoVAgQJ6U1MVXOaj8PK2l7WJ3RER9xtqwdhxkhw/edit?usp=sharing"",""พระนครศรีอยุธยา!J438"")"),0.0)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IFERROR(__xludf.DUMMYFUNCTION("IMPORTRANGE(""https://docs.google.com/spreadsheets/d/1SX6NBoVAgQJ6U1MVXOaj8PK2l7WJ3RER9xtqwdhxkhw/edit?usp=sharing"",""พระนครศรีอยุธยา!J439"")"),1.0)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IFERROR(__xludf.DUMMYFUNCTION("IMPORTRANGE(""https://docs.google.com/spreadsheets/d/1SX6NBoVAgQJ6U1MVXOaj8PK2l7WJ3RER9xtqwdhxkhw/edit?usp=sharing"",""พระนครศรีอยุธยา!J440"")"),1.0)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IFERROR(__xludf.DUMMYFUNCTION("IMPORTRANGE(""https://docs.google.com/spreadsheets/d/1SX6NBoVAgQJ6U1MVXOaj8PK2l7WJ3RER9xtqwdhxkhw/edit?usp=sharing"",""พระนครศรีอยุธยา!J441"")"),1.0)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IFERROR(__xludf.DUMMYFUNCTION("IMPORTRANGE(""https://docs.google.com/spreadsheets/d/1SX6NBoVAgQJ6U1MVXOaj8PK2l7WJ3RER9xtqwdhxkhw/edit?usp=sharing"",""พระนครศรีอยุธยา!I442"")"),22.0)</f>
        <v>22</v>
      </c>
      <c r="J547" s="223">
        <f>IFERROR(__xludf.DUMMYFUNCTION("IMPORTRANGE(""https://docs.google.com/spreadsheets/d/1SX6NBoVAgQJ6U1MVXOaj8PK2l7WJ3RER9xtqwdhxkhw/edit?usp=sharing"",""พระนครศรีอยุธยา!J442"")"),22.0)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IFERROR(__xludf.DUMMYFUNCTION("IMPORTRANGE(""https://docs.google.com/spreadsheets/d/1SX6NBoVAgQJ6U1MVXOaj8PK2l7WJ3RER9xtqwdhxkhw/edit?usp=sharing"",""พระนครศรีอยุธยา!J166"")"),0.0)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IFERROR(__xludf.DUMMYFUNCTION("IMPORTRANGE(""https://docs.google.com/spreadsheets/d/1SX6NBoVAgQJ6U1MVXOaj8PK2l7WJ3RER9xtqwdhxkhw/edit?usp=sharing"",""พระนครศรีอยุธยา!J444"")"),1.0)</f>
        <v>1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IFERROR(__xludf.DUMMYFUNCTION("IMPORTRANGE(""https://docs.google.com/spreadsheets/d/1SX6NBoVAgQJ6U1MVXOaj8PK2l7WJ3RER9xtqwdhxkhw/edit?usp=sharing"",""พระนครศรีอยุธยา!J445"")"),1.0)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IFERROR(__xludf.DUMMYFUNCTION("IMPORTRANGE(""https://docs.google.com/spreadsheets/d/1SX6NBoVAgQJ6U1MVXOaj8PK2l7WJ3RER9xtqwdhxkhw/edit?usp=sharing"",""พระนครศรีอยุธยา!I446"")"),0.0)</f>
        <v>0</v>
      </c>
      <c r="J551" s="443">
        <f>IFERROR(__xludf.DUMMYFUNCTION("IMPORTRANGE(""https://docs.google.com/spreadsheets/d/1SX6NBoVAgQJ6U1MVXOaj8PK2l7WJ3RER9xtqwdhxkhw/edit?usp=sharing"",""พระนครศรีอยุธยา!J446"")"),0.0)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IFERROR(__xludf.DUMMYFUNCTION("IMPORTRANGE(""https://docs.google.com/spreadsheets/d/1SX6NBoVAgQJ6U1MVXOaj8PK2l7WJ3RER9xtqwdhxkhw/edit?usp=sharing"",""พระนครศรีอยุธยา!L446"")"),0.0)</f>
        <v>0</v>
      </c>
      <c r="M551" s="445"/>
      <c r="N551" s="445">
        <f>IFERROR(__xludf.DUMMYFUNCTION("IMPORTRANGE(""https://docs.google.com/spreadsheets/d/1SX6NBoVAgQJ6U1MVXOaj8PK2l7WJ3RER9xtqwdhxkhw/edit?usp=sharing"",""พระนครศรีอยุธยา!M446"")"),0.0)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IFERROR(__xludf.DUMMYFUNCTION("IMPORTRANGE(""https://docs.google.com/spreadsheets/d/1SX6NBoVAgQJ6U1MVXOaj8PK2l7WJ3RER9xtqwdhxkhw/edit?usp=sharing"",""พระนครศรีอยุธยา!L447"")"),0.0)</f>
        <v>0</v>
      </c>
      <c r="M552" s="197"/>
      <c r="N552" s="203">
        <f>IFERROR(__xludf.DUMMYFUNCTION("IMPORTRANGE(""https://docs.google.com/spreadsheets/d/1SX6NBoVAgQJ6U1MVXOaj8PK2l7WJ3RER9xtqwdhxkhw/edit?usp=sharing"",""พระนครศรีอยุธยา!M447"")"),0.0)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IFERROR(__xludf.DUMMYFUNCTION("IMPORTRANGE(""https://docs.google.com/spreadsheets/d/1SX6NBoVAgQJ6U1MVXOaj8PK2l7WJ3RER9xtqwdhxkhw/edit?usp=sharing"",""พระนครศรีอยุธยา!L448"")"),0.0)</f>
        <v>0</v>
      </c>
      <c r="M553" s="198"/>
      <c r="N553" s="203">
        <f>IFERROR(__xludf.DUMMYFUNCTION("IMPORTRANGE(""https://docs.google.com/spreadsheets/d/1SX6NBoVAgQJ6U1MVXOaj8PK2l7WJ3RER9xtqwdhxkhw/edit?usp=sharing"",""พระนครศรีอยุธยา!M448"")"),0.0)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IFERROR(__xludf.DUMMYFUNCTION("IMPORTRANGE(""https://docs.google.com/spreadsheets/d/1SX6NBoVAgQJ6U1MVXOaj8PK2l7WJ3RER9xtqwdhxkhw/edit?usp=sharing"",""พระนครศรีอยุธยา!L449"")"),0.0)</f>
        <v>0</v>
      </c>
      <c r="M554" s="203"/>
      <c r="N554" s="203">
        <f>IFERROR(__xludf.DUMMYFUNCTION("IMPORTRANGE(""https://docs.google.com/spreadsheets/d/1SX6NBoVAgQJ6U1MVXOaj8PK2l7WJ3RER9xtqwdhxkhw/edit?usp=sharing"",""พระนครศรีอยุธยา!M449"")"),0.0)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IFERROR(__xludf.DUMMYFUNCTION("IMPORTRANGE(""https://docs.google.com/spreadsheets/d/1SX6NBoVAgQJ6U1MVXOaj8PK2l7WJ3RER9xtqwdhxkhw/edit?usp=sharing"",""พระนครศรีอยุธยา!L450"")"),0.0)</f>
        <v>0</v>
      </c>
      <c r="M555" s="203"/>
      <c r="N555" s="203">
        <f>IFERROR(__xludf.DUMMYFUNCTION("IMPORTRANGE(""https://docs.google.com/spreadsheets/d/1SX6NBoVAgQJ6U1MVXOaj8PK2l7WJ3RER9xtqwdhxkhw/edit?usp=sharing"",""พระนครศรีอยุธยา!M450"")"),0.0)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IFERROR(__xludf.DUMMYFUNCTION("IMPORTRANGE(""https://docs.google.com/spreadsheets/d/1SX6NBoVAgQJ6U1MVXOaj8PK2l7WJ3RER9xtqwdhxkhw/edit?usp=sharing"",""พระนครศรีอยุธยา!M451"")"),0.0)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IFERROR(__xludf.DUMMYFUNCTION("IMPORTRANGE(""https://docs.google.com/spreadsheets/d/1SX6NBoVAgQJ6U1MVXOaj8PK2l7WJ3RER9xtqwdhxkhw/edit?usp=sharing"",""พระนครศรีอยุธยา!M452"")"),0.0)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IFERROR(__xludf.DUMMYFUNCTION("IMPORTRANGE(""https://docs.google.com/spreadsheets/d/1SX6NBoVAgQJ6U1MVXOaj8PK2l7WJ3RER9xtqwdhxkhw/edit?usp=sharing"",""พระนครศรีอยุธยา!M453"")"),0.0)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IFERROR(__xludf.DUMMYFUNCTION("IMPORTRANGE(""https://docs.google.com/spreadsheets/d/1SX6NBoVAgQJ6U1MVXOaj8PK2l7WJ3RER9xtqwdhxkhw/edit?usp=sharing"",""พระนครศรีอยุธยา!M454"")"),0.0)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IFERROR(__xludf.DUMMYFUNCTION("IMPORTRANGE(""https://docs.google.com/spreadsheets/d/1SX6NBoVAgQJ6U1MVXOaj8PK2l7WJ3RER9xtqwdhxkhw/edit?usp=sharing"",""พระนครศรีอยุธยา!I455"")"),0.0)</f>
        <v>0</v>
      </c>
      <c r="J560" s="195">
        <f>IFERROR(__xludf.DUMMYFUNCTION("IMPORTRANGE(""https://docs.google.com/spreadsheets/d/1SX6NBoVAgQJ6U1MVXOaj8PK2l7WJ3RER9xtqwdhxkhw/edit?usp=sharing"",""พระนครศรีอยุธยา!J455"")"),0.0)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IFERROR(__xludf.DUMMYFUNCTION("IMPORTRANGE(""https://docs.google.com/spreadsheets/d/1SX6NBoVAgQJ6U1MVXOaj8PK2l7WJ3RER9xtqwdhxkhw/edit?usp=sharing"",""พระนครศรีอยุธยา!I456"")"),0.0)</f>
        <v>0</v>
      </c>
      <c r="J561" s="238">
        <f>IFERROR(__xludf.DUMMYFUNCTION("IMPORTRANGE(""https://docs.google.com/spreadsheets/d/1SX6NBoVAgQJ6U1MVXOaj8PK2l7WJ3RER9xtqwdhxkhw/edit?usp=sharing"",""พระนครศรีอยุธยา!J456"")"),0.0)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IFERROR(__xludf.DUMMYFUNCTION("IMPORTRANGE(""https://docs.google.com/spreadsheets/d/1SX6NBoVAgQJ6U1MVXOaj8PK2l7WJ3RER9xtqwdhxkhw/edit?usp=sharing"",""พระนครศรีอยุธยา!I457"")"),"")</f>
        <v/>
      </c>
      <c r="J562" s="238" t="str">
        <f>IFERROR(__xludf.DUMMYFUNCTION("IMPORTRANGE(""https://docs.google.com/spreadsheets/d/1SX6NBoVAgQJ6U1MVXOaj8PK2l7WJ3RER9xtqwdhxkhw/edit?usp=sharing"",""พระนครศรีอยุธยา!J457"")"),"")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IFERROR(__xludf.DUMMYFUNCTION("IMPORTRANGE(""https://docs.google.com/spreadsheets/d/1SX6NBoVAgQJ6U1MVXOaj8PK2l7WJ3RER9xtqwdhxkhw/edit?usp=sharing"",""พระนครศรีอยุธยา!I458"")"),"")</f>
        <v/>
      </c>
      <c r="J563" s="222" t="str">
        <f>IFERROR(__xludf.DUMMYFUNCTION("IMPORTRANGE(""https://docs.google.com/spreadsheets/d/1SX6NBoVAgQJ6U1MVXOaj8PK2l7WJ3RER9xtqwdhxkhw/edit?usp=sharing"",""พระนครศรีอยุธยา!J458"")"),"")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IFERROR(__xludf.DUMMYFUNCTION("IMPORTRANGE(""https://docs.google.com/spreadsheets/d/1SX6NBoVAgQJ6U1MVXOaj8PK2l7WJ3RER9xtqwdhxkhw/edit?usp=sharing"",""พระนครศรีอยุธยา!I459"")"),150.0)</f>
        <v>150</v>
      </c>
      <c r="J564" s="404">
        <f>IFERROR(__xludf.DUMMYFUNCTION("IMPORTRANGE(""https://docs.google.com/spreadsheets/d/1SX6NBoVAgQJ6U1MVXOaj8PK2l7WJ3RER9xtqwdhxkhw/edit?usp=sharing"",""พระนครศรีอยุธยา!J459"")"),195.0)</f>
        <v>195</v>
      </c>
      <c r="K564" s="405">
        <f t="shared" si="122"/>
        <v>130</v>
      </c>
      <c r="L564" s="406">
        <f>IFERROR(__xludf.DUMMYFUNCTION("IMPORTRANGE(""https://docs.google.com/spreadsheets/d/1SX6NBoVAgQJ6U1MVXOaj8PK2l7WJ3RER9xtqwdhxkhw/edit?usp=sharing"",""พระนครศรีอยุธยา!L459"")"),125680.0)</f>
        <v>125680</v>
      </c>
      <c r="M564" s="406"/>
      <c r="N564" s="406">
        <f>IFERROR(__xludf.DUMMYFUNCTION("IMPORTRANGE(""https://docs.google.com/spreadsheets/d/1SX6NBoVAgQJ6U1MVXOaj8PK2l7WJ3RER9xtqwdhxkhw/edit?usp=sharing"",""พระนครศรีอยุธยา!M459"")"),1700.0)</f>
        <v>1700</v>
      </c>
      <c r="O564" s="406">
        <f t="shared" ref="O564:O568" si="123">+IF(L564&gt;0,N564*100/L564,0)</f>
        <v>1.35264163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IFERROR(__xludf.DUMMYFUNCTION("IMPORTRANGE(""https://docs.google.com/spreadsheets/d/1SX6NBoVAgQJ6U1MVXOaj8PK2l7WJ3RER9xtqwdhxkhw/edit?usp=sharing"",""พระนครศรีอยุธยา!L460"")"),0.0)</f>
        <v>0</v>
      </c>
      <c r="M565" s="197"/>
      <c r="N565" s="203">
        <f>IFERROR(__xludf.DUMMYFUNCTION("IMPORTRANGE(""https://docs.google.com/spreadsheets/d/1SX6NBoVAgQJ6U1MVXOaj8PK2l7WJ3RER9xtqwdhxkhw/edit?usp=sharing"",""พระนครศรีอยุธยา!M460"")"),0.0)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IFERROR(__xludf.DUMMYFUNCTION("IMPORTRANGE(""https://docs.google.com/spreadsheets/d/1SX6NBoVAgQJ6U1MVXOaj8PK2l7WJ3RER9xtqwdhxkhw/edit?usp=sharing"",""พระนครศรีอยุธยา!L461"")"),125680.0)</f>
        <v>125680</v>
      </c>
      <c r="M566" s="198"/>
      <c r="N566" s="203">
        <f>IFERROR(__xludf.DUMMYFUNCTION("IMPORTRANGE(""https://docs.google.com/spreadsheets/d/1SX6NBoVAgQJ6U1MVXOaj8PK2l7WJ3RER9xtqwdhxkhw/edit?usp=sharing"",""พระนครศรีอยุธยา!M461"")"),1700.0)</f>
        <v>1700</v>
      </c>
      <c r="O566" s="203">
        <f t="shared" si="123"/>
        <v>1.35264163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IFERROR(__xludf.DUMMYFUNCTION("IMPORTRANGE(""https://docs.google.com/spreadsheets/d/1SX6NBoVAgQJ6U1MVXOaj8PK2l7WJ3RER9xtqwdhxkhw/edit?usp=sharing"",""พระนครศรีอยุธยา!L462"")"),0.0)</f>
        <v>0</v>
      </c>
      <c r="M567" s="203"/>
      <c r="N567" s="203">
        <f>IFERROR(__xludf.DUMMYFUNCTION("IMPORTRANGE(""https://docs.google.com/spreadsheets/d/1SX6NBoVAgQJ6U1MVXOaj8PK2l7WJ3RER9xtqwdhxkhw/edit?usp=sharing"",""พระนครศรีอยุธยา!M462"")"),0.0)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IFERROR(__xludf.DUMMYFUNCTION("IMPORTRANGE(""https://docs.google.com/spreadsheets/d/1SX6NBoVAgQJ6U1MVXOaj8PK2l7WJ3RER9xtqwdhxkhw/edit?usp=sharing"",""พระนครศรีอยุธยา!L463"")"),125680.0)</f>
        <v>125680</v>
      </c>
      <c r="M568" s="203"/>
      <c r="N568" s="203">
        <f>IFERROR(__xludf.DUMMYFUNCTION("IMPORTRANGE(""https://docs.google.com/spreadsheets/d/1SX6NBoVAgQJ6U1MVXOaj8PK2l7WJ3RER9xtqwdhxkhw/edit?usp=sharing"",""พระนครศรีอยุธยา!M463"")"),1700.0)</f>
        <v>1700</v>
      </c>
      <c r="O568" s="203">
        <f t="shared" si="123"/>
        <v>1.35264163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IFERROR(__xludf.DUMMYFUNCTION("IMPORTRANGE(""https://docs.google.com/spreadsheets/d/1SX6NBoVAgQJ6U1MVXOaj8PK2l7WJ3RER9xtqwdhxkhw/edit?usp=sharing"",""พระนครศรีอยุธยา!M464"")"),0.0)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IFERROR(__xludf.DUMMYFUNCTION("IMPORTRANGE(""https://docs.google.com/spreadsheets/d/1SX6NBoVAgQJ6U1MVXOaj8PK2l7WJ3RER9xtqwdhxkhw/edit?usp=sharing"",""พระนครศรีอยุธยา!M465"")"),0.0)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IFERROR(__xludf.DUMMYFUNCTION("IMPORTRANGE(""https://docs.google.com/spreadsheets/d/1SX6NBoVAgQJ6U1MVXOaj8PK2l7WJ3RER9xtqwdhxkhw/edit?usp=sharing"",""พระนครศรีอยุธยา!M466"")"),0.0)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IFERROR(__xludf.DUMMYFUNCTION("IMPORTRANGE(""https://docs.google.com/spreadsheets/d/1SX6NBoVAgQJ6U1MVXOaj8PK2l7WJ3RER9xtqwdhxkhw/edit?usp=sharing"",""พระนครศรีอยุธยา!M467"")"),1700.0)</f>
        <v>1700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IFERROR(__xludf.DUMMYFUNCTION("IMPORTRANGE(""https://docs.google.com/spreadsheets/d/1SX6NBoVAgQJ6U1MVXOaj8PK2l7WJ3RER9xtqwdhxkhw/edit?usp=sharing"",""พระนครศรีอยุธยา!I468"")"),150.0)</f>
        <v>150</v>
      </c>
      <c r="J573" s="453">
        <f>IFERROR(__xludf.DUMMYFUNCTION("IMPORTRANGE(""https://docs.google.com/spreadsheets/d/1SX6NBoVAgQJ6U1MVXOaj8PK2l7WJ3RER9xtqwdhxkhw/edit?usp=sharing"",""พระนครศรีอยุธยา!J468"")"),195.0)</f>
        <v>195</v>
      </c>
      <c r="K573" s="236">
        <f>IF(I573&gt;0,J573*100/I573,0)</f>
        <v>130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IFERROR(__xludf.DUMMYFUNCTION("IMPORTRANGE(""https://docs.google.com/spreadsheets/d/1SX6NBoVAgQJ6U1MVXOaj8PK2l7WJ3RER9xtqwdhxkhw/edit?usp=sharing"",""พระนครศรีอยุธยา!I470"")"),0.0)</f>
        <v>0</v>
      </c>
      <c r="J575" s="232">
        <f>IFERROR(__xludf.DUMMYFUNCTION("IMPORTRANGE(""https://docs.google.com/spreadsheets/d/1SX6NBoVAgQJ6U1MVXOaj8PK2l7WJ3RER9xtqwdhxkhw/edit?usp=sharing"",""พระนครศรีอยุธยา!J470"")"),1.0)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IFERROR(__xludf.DUMMYFUNCTION("IMPORTRANGE(""https://docs.google.com/spreadsheets/d/1SX6NBoVAgQJ6U1MVXOaj8PK2l7WJ3RER9xtqwdhxkhw/edit?usp=sharing"",""พระนครศรีอยุธยา!I471"")"),0.0)</f>
        <v>0</v>
      </c>
      <c r="J576" s="232">
        <f>IFERROR(__xludf.DUMMYFUNCTION("IMPORTRANGE(""https://docs.google.com/spreadsheets/d/1SX6NBoVAgQJ6U1MVXOaj8PK2l7WJ3RER9xtqwdhxkhw/edit?usp=sharing"",""พระนครศรีอยุธยา!J471"")"),22.0)</f>
        <v>22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IFERROR(__xludf.DUMMYFUNCTION("IMPORTRANGE(""https://docs.google.com/spreadsheets/d/1SX6NBoVAgQJ6U1MVXOaj8PK2l7WJ3RER9xtqwdhxkhw/edit?usp=sharing"",""พระนครศรีอยุธยา!I472"")"),0.0)</f>
        <v>0</v>
      </c>
      <c r="J577" s="223">
        <f>IFERROR(__xludf.DUMMYFUNCTION("IMPORTRANGE(""https://docs.google.com/spreadsheets/d/1SX6NBoVAgQJ6U1MVXOaj8PK2l7WJ3RER9xtqwdhxkhw/edit?usp=sharing"",""พระนครศรีอยุธยา!J472"")"),173.0)</f>
        <v>173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IFERROR(__xludf.DUMMYFUNCTION("IMPORTRANGE(""https://docs.google.com/spreadsheets/d/1SX6NBoVAgQJ6U1MVXOaj8PK2l7WJ3RER9xtqwdhxkhw/edit?usp=sharing"",""พระนครศรีอยุธยา!I473"")"),0.0)</f>
        <v>0</v>
      </c>
      <c r="J578" s="232">
        <f>IFERROR(__xludf.DUMMYFUNCTION("IMPORTRANGE(""https://docs.google.com/spreadsheets/d/1SX6NBoVAgQJ6U1MVXOaj8PK2l7WJ3RER9xtqwdhxkhw/edit?usp=sharing"",""พระนครศรีอยุธยา!J473"")"),0.0)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IFERROR(__xludf.DUMMYFUNCTION("IMPORTRANGE(""https://docs.google.com/spreadsheets/d/1SX6NBoVAgQJ6U1MVXOaj8PK2l7WJ3RER9xtqwdhxkhw/edit?usp=sharing"",""พระนครศรีอยุธยา!I474"")"),0.0)</f>
        <v>0</v>
      </c>
      <c r="J579" s="232">
        <f>IFERROR(__xludf.DUMMYFUNCTION("IMPORTRANGE(""https://docs.google.com/spreadsheets/d/1SX6NBoVAgQJ6U1MVXOaj8PK2l7WJ3RER9xtqwdhxkhw/edit?usp=sharing"",""พระนครศรีอยุธยา!J474"")"),0.0)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IFERROR(__xludf.DUMMYFUNCTION("IMPORTRANGE(""https://docs.google.com/spreadsheets/d/1SX6NBoVAgQJ6U1MVXOaj8PK2l7WJ3RER9xtqwdhxkhw/edit?usp=sharing"",""พระนครศรีอยุธยา!I475"")"),0.0)</f>
        <v>0</v>
      </c>
      <c r="J580" s="404">
        <f>IFERROR(__xludf.DUMMYFUNCTION("IMPORTRANGE(""https://docs.google.com/spreadsheets/d/1SX6NBoVAgQJ6U1MVXOaj8PK2l7WJ3RER9xtqwdhxkhw/edit?usp=sharing"",""พระนครศรีอยุธยา!J475"")"),0.0)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IFERROR(__xludf.DUMMYFUNCTION("IMPORTRANGE(""https://docs.google.com/spreadsheets/d/1SX6NBoVAgQJ6U1MVXOaj8PK2l7WJ3RER9xtqwdhxkhw/edit?usp=sharing"",""พระนครศรีอยุธยา!L475"")"),0.0)</f>
        <v>0</v>
      </c>
      <c r="M580" s="406"/>
      <c r="N580" s="406">
        <f>IFERROR(__xludf.DUMMYFUNCTION("IMPORTRANGE(""https://docs.google.com/spreadsheets/d/1SX6NBoVAgQJ6U1MVXOaj8PK2l7WJ3RER9xtqwdhxkhw/edit?usp=sharing"",""พระนครศรีอยุธยา!M475"")"),0.0)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IFERROR(__xludf.DUMMYFUNCTION("IMPORTRANGE(""https://docs.google.com/spreadsheets/d/1SX6NBoVAgQJ6U1MVXOaj8PK2l7WJ3RER9xtqwdhxkhw/edit?usp=sharing"",""พระนครศรีอยุธยา!L476"")"),0.0)</f>
        <v>0</v>
      </c>
      <c r="M581" s="197"/>
      <c r="N581" s="203">
        <f>IFERROR(__xludf.DUMMYFUNCTION("IMPORTRANGE(""https://docs.google.com/spreadsheets/d/1SX6NBoVAgQJ6U1MVXOaj8PK2l7WJ3RER9xtqwdhxkhw/edit?usp=sharing"",""พระนครศรีอยุธยา!M476"")"),0.0)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IFERROR(__xludf.DUMMYFUNCTION("IMPORTRANGE(""https://docs.google.com/spreadsheets/d/1SX6NBoVAgQJ6U1MVXOaj8PK2l7WJ3RER9xtqwdhxkhw/edit?usp=sharing"",""พระนครศรีอยุธยา!L477"")"),0.0)</f>
        <v>0</v>
      </c>
      <c r="M582" s="198"/>
      <c r="N582" s="203">
        <f>IFERROR(__xludf.DUMMYFUNCTION("IMPORTRANGE(""https://docs.google.com/spreadsheets/d/1SX6NBoVAgQJ6U1MVXOaj8PK2l7WJ3RER9xtqwdhxkhw/edit?usp=sharing"",""พระนครศรีอยุธยา!M477"")"),0.0)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IFERROR(__xludf.DUMMYFUNCTION("IMPORTRANGE(""https://docs.google.com/spreadsheets/d/1SX6NBoVAgQJ6U1MVXOaj8PK2l7WJ3RER9xtqwdhxkhw/edit?usp=sharing"",""พระนครศรีอยุธยา!L478"")"),0.0)</f>
        <v>0</v>
      </c>
      <c r="M583" s="203"/>
      <c r="N583" s="203">
        <f>IFERROR(__xludf.DUMMYFUNCTION("IMPORTRANGE(""https://docs.google.com/spreadsheets/d/1SX6NBoVAgQJ6U1MVXOaj8PK2l7WJ3RER9xtqwdhxkhw/edit?usp=sharing"",""พระนครศรีอยุธยา!M478"")"),0.0)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IFERROR(__xludf.DUMMYFUNCTION("IMPORTRANGE(""https://docs.google.com/spreadsheets/d/1SX6NBoVAgQJ6U1MVXOaj8PK2l7WJ3RER9xtqwdhxkhw/edit?usp=sharing"",""พระนครศรีอยุธยา!L479"")"),0.0)</f>
        <v>0</v>
      </c>
      <c r="M584" s="203"/>
      <c r="N584" s="203">
        <f>IFERROR(__xludf.DUMMYFUNCTION("IMPORTRANGE(""https://docs.google.com/spreadsheets/d/1SX6NBoVAgQJ6U1MVXOaj8PK2l7WJ3RER9xtqwdhxkhw/edit?usp=sharing"",""พระนครศรีอยุธยา!M479"")"),0.0)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IFERROR(__xludf.DUMMYFUNCTION("IMPORTRANGE(""https://docs.google.com/spreadsheets/d/1SX6NBoVAgQJ6U1MVXOaj8PK2l7WJ3RER9xtqwdhxkhw/edit?usp=sharing"",""พระนครศรีอยุธยา!M480"")"),0.0)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IFERROR(__xludf.DUMMYFUNCTION("IMPORTRANGE(""https://docs.google.com/spreadsheets/d/1SX6NBoVAgQJ6U1MVXOaj8PK2l7WJ3RER9xtqwdhxkhw/edit?usp=sharing"",""พระนครศรีอยุธยา!M481"")"),0.0)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IFERROR(__xludf.DUMMYFUNCTION("IMPORTRANGE(""https://docs.google.com/spreadsheets/d/1SX6NBoVAgQJ6U1MVXOaj8PK2l7WJ3RER9xtqwdhxkhw/edit?usp=sharing"",""พระนครศรีอยุธยา!M482"")"),0.0)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IFERROR(__xludf.DUMMYFUNCTION("IMPORTRANGE(""https://docs.google.com/spreadsheets/d/1SX6NBoVAgQJ6U1MVXOaj8PK2l7WJ3RER9xtqwdhxkhw/edit?usp=sharing"",""พระนครศรีอยุธยา!M483"")"),0.0)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IFERROR(__xludf.DUMMYFUNCTION("IMPORTRANGE(""https://docs.google.com/spreadsheets/d/1SX6NBoVAgQJ6U1MVXOaj8PK2l7WJ3RER9xtqwdhxkhw/edit?usp=sharing"",""พระนครศรีอยุธยา!I484"")"),0.0)</f>
        <v>0</v>
      </c>
      <c r="J589" s="222">
        <f>IFERROR(__xludf.DUMMYFUNCTION("IMPORTRANGE(""https://docs.google.com/spreadsheets/d/1SX6NBoVAgQJ6U1MVXOaj8PK2l7WJ3RER9xtqwdhxkhw/edit?usp=sharing"",""พระนครศรีอยุธยา!J484"")"),0.0)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IFERROR(__xludf.DUMMYFUNCTION("IMPORTRANGE(""https://docs.google.com/spreadsheets/d/1SX6NBoVAgQJ6U1MVXOaj8PK2l7WJ3RER9xtqwdhxkhw/edit?usp=sharing"",""พระนครศรีอยุธยา!I485"")"),0.0)</f>
        <v>0</v>
      </c>
      <c r="J590" s="222">
        <f>IFERROR(__xludf.DUMMYFUNCTION("IMPORTRANGE(""https://docs.google.com/spreadsheets/d/1SX6NBoVAgQJ6U1MVXOaj8PK2l7WJ3RER9xtqwdhxkhw/edit?usp=sharing"",""พระนครศรีอยุธยา!J485"")"),0.0)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IFERROR(__xludf.DUMMYFUNCTION("IMPORTRANGE(""https://docs.google.com/spreadsheets/d/1SX6NBoVAgQJ6U1MVXOaj8PK2l7WJ3RER9xtqwdhxkhw/edit?usp=sharing"",""พระนครศรีอยุธยา!I486"")"),0.0)</f>
        <v>0</v>
      </c>
      <c r="J591" s="222">
        <f>IFERROR(__xludf.DUMMYFUNCTION("IMPORTRANGE(""https://docs.google.com/spreadsheets/d/1SX6NBoVAgQJ6U1MVXOaj8PK2l7WJ3RER9xtqwdhxkhw/edit?usp=sharing"",""พระนครศรีอยุธยา!J486"")"),0.0)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IFERROR(__xludf.DUMMYFUNCTION("IMPORTRANGE(""https://docs.google.com/spreadsheets/d/1SX6NBoVAgQJ6U1MVXOaj8PK2l7WJ3RER9xtqwdhxkhw/edit?usp=sharing"",""พระนครศรีอยุธยา!I487"")"),0.0)</f>
        <v>0</v>
      </c>
      <c r="J592" s="222">
        <f>IFERROR(__xludf.DUMMYFUNCTION("IMPORTRANGE(""https://docs.google.com/spreadsheets/d/1SX6NBoVAgQJ6U1MVXOaj8PK2l7WJ3RER9xtqwdhxkhw/edit?usp=sharing"",""พระนครศรีอยุธยา!J487"")"),0.0)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IFERROR(__xludf.DUMMYFUNCTION("IMPORTRANGE(""https://docs.google.com/spreadsheets/d/1SX6NBoVAgQJ6U1MVXOaj8PK2l7WJ3RER9xtqwdhxkhw/edit?usp=sharing"",""พระนครศรีอยุธยา!I488"")"),0.0)</f>
        <v>0</v>
      </c>
      <c r="J593" s="222">
        <f>IFERROR(__xludf.DUMMYFUNCTION("IMPORTRANGE(""https://docs.google.com/spreadsheets/d/1SX6NBoVAgQJ6U1MVXOaj8PK2l7WJ3RER9xtqwdhxkhw/edit?usp=sharing"",""พระนครศรีอยุธยา!J488"")"),0.0)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IFERROR(__xludf.DUMMYFUNCTION("IMPORTRANGE(""https://docs.google.com/spreadsheets/d/1SX6NBoVAgQJ6U1MVXOaj8PK2l7WJ3RER9xtqwdhxkhw/edit?usp=sharing"",""พระนครศรีอยุธยา!I489"")"),0.0)</f>
        <v>0</v>
      </c>
      <c r="J594" s="222">
        <f>IFERROR(__xludf.DUMMYFUNCTION("IMPORTRANGE(""https://docs.google.com/spreadsheets/d/1SX6NBoVAgQJ6U1MVXOaj8PK2l7WJ3RER9xtqwdhxkhw/edit?usp=sharing"",""พระนครศรีอยุธยา!J489"")"),0.0)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IFERROR(__xludf.DUMMYFUNCTION("IMPORTRANGE(""https://docs.google.com/spreadsheets/d/1SX6NBoVAgQJ6U1MVXOaj8PK2l7WJ3RER9xtqwdhxkhw/edit?usp=sharing"",""พระนครศรีอยุธยา!I490"")"),0.0)</f>
        <v>0</v>
      </c>
      <c r="J595" s="222">
        <f>IFERROR(__xludf.DUMMYFUNCTION("IMPORTRANGE(""https://docs.google.com/spreadsheets/d/1SX6NBoVAgQJ6U1MVXOaj8PK2l7WJ3RER9xtqwdhxkhw/edit?usp=sharing"",""พระนครศรีอยุธยา!J490"")"),0.0)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IFERROR(__xludf.DUMMYFUNCTION("IMPORTRANGE(""https://docs.google.com/spreadsheets/d/1SX6NBoVAgQJ6U1MVXOaj8PK2l7WJ3RER9xtqwdhxkhw/edit?usp=sharing"",""พระนครศรีอยุธยา!I491"")"),0.0)</f>
        <v>0</v>
      </c>
      <c r="J596" s="275">
        <f>IFERROR(__xludf.DUMMYFUNCTION("IMPORTRANGE(""https://docs.google.com/spreadsheets/d/1SX6NBoVAgQJ6U1MVXOaj8PK2l7WJ3RER9xtqwdhxkhw/edit?usp=sharing"",""พระนครศรีอยุธยา!J491"")"),0.0)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IFERROR(__xludf.DUMMYFUNCTION("IMPORTRANGE(""https://docs.google.com/spreadsheets/d/1SX6NBoVAgQJ6U1MVXOaj8PK2l7WJ3RER9xtqwdhxkhw/edit?usp=sharing"",""พระนครศรีอยุธยา!I492"")"),100.0)</f>
        <v>100</v>
      </c>
      <c r="J597" s="520">
        <f>IFERROR(__xludf.DUMMYFUNCTION("IMPORTRANGE(""https://docs.google.com/spreadsheets/d/1SX6NBoVAgQJ6U1MVXOaj8PK2l7WJ3RER9xtqwdhxkhw/edit?usp=sharing"",""พระนครศรีอยุธยา!J492"")"),0.0)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IFERROR(__xludf.DUMMYFUNCTION("IMPORTRANGE(""https://docs.google.com/spreadsheets/d/1SX6NBoVAgQJ6U1MVXOaj8PK2l7WJ3RER9xtqwdhxkhw/edit?usp=sharing"",""พระนครศรีอยุธยา!L492"")"),7300.0)</f>
        <v>7300</v>
      </c>
      <c r="M597" s="445"/>
      <c r="N597" s="445">
        <f>IFERROR(__xludf.DUMMYFUNCTION("IMPORTRANGE(""https://docs.google.com/spreadsheets/d/1SX6NBoVAgQJ6U1MVXOaj8PK2l7WJ3RER9xtqwdhxkhw/edit?usp=sharing"",""พระนครศรีอยุธยา!M492"")"),0.0)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IFERROR(__xludf.DUMMYFUNCTION("IMPORTRANGE(""https://docs.google.com/spreadsheets/d/1SX6NBoVAgQJ6U1MVXOaj8PK2l7WJ3RER9xtqwdhxkhw/edit?usp=sharing"",""พระนครศรีอยุธยา!L493"")"),0.0)</f>
        <v>0</v>
      </c>
      <c r="M598" s="197"/>
      <c r="N598" s="203">
        <f>IFERROR(__xludf.DUMMYFUNCTION("IMPORTRANGE(""https://docs.google.com/spreadsheets/d/1SX6NBoVAgQJ6U1MVXOaj8PK2l7WJ3RER9xtqwdhxkhw/edit?usp=sharing"",""พระนครศรีอยุธยา!M493"")"),0.0)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IFERROR(__xludf.DUMMYFUNCTION("IMPORTRANGE(""https://docs.google.com/spreadsheets/d/1SX6NBoVAgQJ6U1MVXOaj8PK2l7WJ3RER9xtqwdhxkhw/edit?usp=sharing"",""พระนครศรีอยุธยา!L494"")"),7300.0)</f>
        <v>7300</v>
      </c>
      <c r="M599" s="198"/>
      <c r="N599" s="203">
        <f>IFERROR(__xludf.DUMMYFUNCTION("IMPORTRANGE(""https://docs.google.com/spreadsheets/d/1SX6NBoVAgQJ6U1MVXOaj8PK2l7WJ3RER9xtqwdhxkhw/edit?usp=sharing"",""พระนครศรีอยุธยา!M494"")"),0.0)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IFERROR(__xludf.DUMMYFUNCTION("IMPORTRANGE(""https://docs.google.com/spreadsheets/d/1SX6NBoVAgQJ6U1MVXOaj8PK2l7WJ3RER9xtqwdhxkhw/edit?usp=sharing"",""พระนครศรีอยุธยา!L495"")"),0.0)</f>
        <v>0</v>
      </c>
      <c r="M600" s="203"/>
      <c r="N600" s="203">
        <f>IFERROR(__xludf.DUMMYFUNCTION("IMPORTRANGE(""https://docs.google.com/spreadsheets/d/1SX6NBoVAgQJ6U1MVXOaj8PK2l7WJ3RER9xtqwdhxkhw/edit?usp=sharing"",""พระนครศรีอยุธยา!M495"")"),0.0)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IFERROR(__xludf.DUMMYFUNCTION("IMPORTRANGE(""https://docs.google.com/spreadsheets/d/1SX6NBoVAgQJ6U1MVXOaj8PK2l7WJ3RER9xtqwdhxkhw/edit?usp=sharing"",""พระนครศรีอยุธยา!L496"")"),7300.0)</f>
        <v>7300</v>
      </c>
      <c r="M601" s="203"/>
      <c r="N601" s="203">
        <f>IFERROR(__xludf.DUMMYFUNCTION("IMPORTRANGE(""https://docs.google.com/spreadsheets/d/1SX6NBoVAgQJ6U1MVXOaj8PK2l7WJ3RER9xtqwdhxkhw/edit?usp=sharing"",""พระนครศรีอยุธยา!M496"")"),0.0)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IFERROR(__xludf.DUMMYFUNCTION("IMPORTRANGE(""https://docs.google.com/spreadsheets/d/1SX6NBoVAgQJ6U1MVXOaj8PK2l7WJ3RER9xtqwdhxkhw/edit?usp=sharing"",""พระนครศรีอยุธยา!M497"")"),0.0)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IFERROR(__xludf.DUMMYFUNCTION("IMPORTRANGE(""https://docs.google.com/spreadsheets/d/1SX6NBoVAgQJ6U1MVXOaj8PK2l7WJ3RER9xtqwdhxkhw/edit?usp=sharing"",""พระนครศรีอยุธยา!M498"")"),0.0)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IFERROR(__xludf.DUMMYFUNCTION("IMPORTRANGE(""https://docs.google.com/spreadsheets/d/1SX6NBoVAgQJ6U1MVXOaj8PK2l7WJ3RER9xtqwdhxkhw/edit?usp=sharing"",""พระนครศรีอยุธยา!M499"")"),0.0)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IFERROR(__xludf.DUMMYFUNCTION("IMPORTRANGE(""https://docs.google.com/spreadsheets/d/1SX6NBoVAgQJ6U1MVXOaj8PK2l7WJ3RER9xtqwdhxkhw/edit?usp=sharing"",""พระนครศรีอยุธยา!M500"")"),0.0)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IFERROR(__xludf.DUMMYFUNCTION("IMPORTRANGE(""https://docs.google.com/spreadsheets/d/1SX6NBoVAgQJ6U1MVXOaj8PK2l7WJ3RER9xtqwdhxkhw/edit?usp=sharing"",""พระนครศรีอยุธยา!J502"")"),1.0)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IFERROR(__xludf.DUMMYFUNCTION("IMPORTRANGE(""https://docs.google.com/spreadsheets/d/1SX6NBoVAgQJ6U1MVXOaj8PK2l7WJ3RER9xtqwdhxkhw/edit?usp=sharing"",""พระนครศรีอยุธยา!J503"")"),0.0)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IFERROR(__xludf.DUMMYFUNCTION("IMPORTRANGE(""https://docs.google.com/spreadsheets/d/1SX6NBoVAgQJ6U1MVXOaj8PK2l7WJ3RER9xtqwdhxkhw/edit?usp=sharing"",""พระนครศรีอยุธยา!J166"")"),0.0)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IFERROR(__xludf.DUMMYFUNCTION("IMPORTRANGE(""https://docs.google.com/spreadsheets/d/1SX6NBoVAgQJ6U1MVXOaj8PK2l7WJ3RER9xtqwdhxkhw/edit?usp=sharing"",""พระนครศรีอยุธยา!J166"")"),0.0)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IFERROR(__xludf.DUMMYFUNCTION("IMPORTRANGE(""https://docs.google.com/spreadsheets/d/1SX6NBoVAgQJ6U1MVXOaj8PK2l7WJ3RER9xtqwdhxkhw/edit?usp=sharing"",""พระนครศรีอยุธยา!I506"")"),100.0)</f>
        <v>100</v>
      </c>
      <c r="J611" s="195">
        <f>IFERROR(__xludf.DUMMYFUNCTION("IMPORTRANGE(""https://docs.google.com/spreadsheets/d/1SX6NBoVAgQJ6U1MVXOaj8PK2l7WJ3RER9xtqwdhxkhw/edit?usp=sharing"",""พระนครศรีอยุธยา!J506"")"),0.0)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IFERROR(__xludf.DUMMYFUNCTION("IMPORTRANGE(""https://docs.google.com/spreadsheets/d/1SX6NBoVAgQJ6U1MVXOaj8PK2l7WJ3RER9xtqwdhxkhw/edit?usp=sharing"",""พระนครศรีอยุธยา!I507"")"),0.0)</f>
        <v>0</v>
      </c>
      <c r="J612" s="232">
        <f>IFERROR(__xludf.DUMMYFUNCTION("IMPORTRANGE(""https://docs.google.com/spreadsheets/d/1SX6NBoVAgQJ6U1MVXOaj8PK2l7WJ3RER9xtqwdhxkhw/edit?usp=sharing"",""พระนครศรีอยุธยา!J507"")"),0.0)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IFERROR(__xludf.DUMMYFUNCTION("IMPORTRANGE(""https://docs.google.com/spreadsheets/d/1SX6NBoVAgQJ6U1MVXOaj8PK2l7WJ3RER9xtqwdhxkhw/edit?usp=sharing"",""พระนครศรีอยุธยา!I508"")"),0.0)</f>
        <v>0</v>
      </c>
      <c r="J613" s="232">
        <f>IFERROR(__xludf.DUMMYFUNCTION("IMPORTRANGE(""https://docs.google.com/spreadsheets/d/1SX6NBoVAgQJ6U1MVXOaj8PK2l7WJ3RER9xtqwdhxkhw/edit?usp=sharing"",""พระนครศรีอยุธยา!J508"")"),0.0)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IFERROR(__xludf.DUMMYFUNCTION("IMPORTRANGE(""https://docs.google.com/spreadsheets/d/1SX6NBoVAgQJ6U1MVXOaj8PK2l7WJ3RER9xtqwdhxkhw/edit?usp=sharing"",""พระนครศรีอยุธยา!I509"")"),0.0)</f>
        <v>0</v>
      </c>
      <c r="J614" s="232">
        <f>IFERROR(__xludf.DUMMYFUNCTION("IMPORTRANGE(""https://docs.google.com/spreadsheets/d/1SX6NBoVAgQJ6U1MVXOaj8PK2l7WJ3RER9xtqwdhxkhw/edit?usp=sharing"",""พระนครศรีอยุธยา!J509"")"),0.0)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IFERROR(__xludf.DUMMYFUNCTION("IMPORTRANGE(""https://docs.google.com/spreadsheets/d/1SX6NBoVAgQJ6U1MVXOaj8PK2l7WJ3RER9xtqwdhxkhw/edit?usp=sharing"",""พระนครศรีอยุธยา!I510"")"),0.0)</f>
        <v>0</v>
      </c>
      <c r="J615" s="232">
        <f>IFERROR(__xludf.DUMMYFUNCTION("IMPORTRANGE(""https://docs.google.com/spreadsheets/d/1SX6NBoVAgQJ6U1MVXOaj8PK2l7WJ3RER9xtqwdhxkhw/edit?usp=sharing"",""พระนครศรีอยุธยา!J510"")"),0.0)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IFERROR(__xludf.DUMMYFUNCTION("IMPORTRANGE(""https://docs.google.com/spreadsheets/d/1SX6NBoVAgQJ6U1MVXOaj8PK2l7WJ3RER9xtqwdhxkhw/edit?usp=sharing"",""พระนครศรีอยุธยา!I511"")"),0.0)</f>
        <v>0</v>
      </c>
      <c r="J616" s="232">
        <f>IFERROR(__xludf.DUMMYFUNCTION("IMPORTRANGE(""https://docs.google.com/spreadsheets/d/1SX6NBoVAgQJ6U1MVXOaj8PK2l7WJ3RER9xtqwdhxkhw/edit?usp=sharing"",""พระนครศรีอยุธยา!J511"")"),0.0)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IFERROR(__xludf.DUMMYFUNCTION("IMPORTRANGE(""https://docs.google.com/spreadsheets/d/1SX6NBoVAgQJ6U1MVXOaj8PK2l7WJ3RER9xtqwdhxkhw/edit?usp=sharing"",""พระนครศรีอยุธยา!I512"")"),0.0)</f>
        <v>0</v>
      </c>
      <c r="J617" s="222">
        <f>IFERROR(__xludf.DUMMYFUNCTION("IMPORTRANGE(""https://docs.google.com/spreadsheets/d/1SX6NBoVAgQJ6U1MVXOaj8PK2l7WJ3RER9xtqwdhxkhw/edit?usp=sharing"",""พระนครศรีอยุธยา!J512"")"),0.0)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IFERROR(__xludf.DUMMYFUNCTION("IMPORTRANGE(""https://docs.google.com/spreadsheets/d/1SX6NBoVAgQJ6U1MVXOaj8PK2l7WJ3RER9xtqwdhxkhw/edit?usp=sharing"",""พระนครศรีอยุธยา!I513"")"),0.0)</f>
        <v>0</v>
      </c>
      <c r="J618" s="223">
        <f>IFERROR(__xludf.DUMMYFUNCTION("IMPORTRANGE(""https://docs.google.com/spreadsheets/d/1SX6NBoVAgQJ6U1MVXOaj8PK2l7WJ3RER9xtqwdhxkhw/edit?usp=sharing"",""พระนครศรีอยุธยา!J513"")"),0.0)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IFERROR(__xludf.DUMMYFUNCTION("IMPORTRANGE(""https://docs.google.com/spreadsheets/d/1SX6NBoVAgQJ6U1MVXOaj8PK2l7WJ3RER9xtqwdhxkhw/edit?usp=sharing"",""พระนครศรีอยุธยา!I514"")"),0.0)</f>
        <v>0</v>
      </c>
      <c r="J619" s="223">
        <f>IFERROR(__xludf.DUMMYFUNCTION("IMPORTRANGE(""https://docs.google.com/spreadsheets/d/1SX6NBoVAgQJ6U1MVXOaj8PK2l7WJ3RER9xtqwdhxkhw/edit?usp=sharing"",""พระนครศรีอยุธยา!J514"")"),0.0)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IFERROR(__xludf.DUMMYFUNCTION("IMPORTRANGE(""https://docs.google.com/spreadsheets/d/1SX6NBoVAgQJ6U1MVXOaj8PK2l7WJ3RER9xtqwdhxkhw/edit?usp=sharing"",""พระนครศรีอยุธยา!I515"")"),0.0)</f>
        <v>0</v>
      </c>
      <c r="J620" s="237">
        <f>IFERROR(__xludf.DUMMYFUNCTION("IMPORTRANGE(""https://docs.google.com/spreadsheets/d/1SX6NBoVAgQJ6U1MVXOaj8PK2l7WJ3RER9xtqwdhxkhw/edit?usp=sharing"",""พระนครศรีอยุธยา!J515"")"),0.0)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IFERROR(__xludf.DUMMYFUNCTION("IMPORTRANGE(""https://docs.google.com/spreadsheets/d/1SX6NBoVAgQJ6U1MVXOaj8PK2l7WJ3RER9xtqwdhxkhw/edit?usp=sharing"",""พระนครศรีอยุธยา!I516"")"),0.0)</f>
        <v>0</v>
      </c>
      <c r="J621" s="237">
        <f>IFERROR(__xludf.DUMMYFUNCTION("IMPORTRANGE(""https://docs.google.com/spreadsheets/d/1SX6NBoVAgQJ6U1MVXOaj8PK2l7WJ3RER9xtqwdhxkhw/edit?usp=sharing"",""พระนครศรีอยุธยา!J516"")"),0.0)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IFERROR(__xludf.DUMMYFUNCTION("IMPORTRANGE(""https://docs.google.com/spreadsheets/d/1SX6NBoVAgQJ6U1MVXOaj8PK2l7WJ3RER9xtqwdhxkhw/edit?usp=sharing"",""พระนครศรีอยุธยา!I517"")"),0.0)</f>
        <v>0</v>
      </c>
      <c r="J622" s="223">
        <f>IFERROR(__xludf.DUMMYFUNCTION("IMPORTRANGE(""https://docs.google.com/spreadsheets/d/1SX6NBoVAgQJ6U1MVXOaj8PK2l7WJ3RER9xtqwdhxkhw/edit?usp=sharing"",""พระนครศรีอยุธยา!J517"")"),0.0)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IFERROR(__xludf.DUMMYFUNCTION("IMPORTRANGE(""https://docs.google.com/spreadsheets/d/1SX6NBoVAgQJ6U1MVXOaj8PK2l7WJ3RER9xtqwdhxkhw/edit?usp=sharing"",""พระนครศรีอยุธยา!I518"")"),0.0)</f>
        <v>0</v>
      </c>
      <c r="J623" s="223">
        <f>IFERROR(__xludf.DUMMYFUNCTION("IMPORTRANGE(""https://docs.google.com/spreadsheets/d/1SX6NBoVAgQJ6U1MVXOaj8PK2l7WJ3RER9xtqwdhxkhw/edit?usp=sharing"",""พระนครศรีอยุธยา!J518"")"),0.0)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IFERROR(__xludf.DUMMYFUNCTION("IMPORTRANGE(""https://docs.google.com/spreadsheets/d/1SX6NBoVAgQJ6U1MVXOaj8PK2l7WJ3RER9xtqwdhxkhw/edit?usp=sharing"",""พระนครศรีอยุธยา!I519"")"),0.0)</f>
        <v>0</v>
      </c>
      <c r="J624" s="222">
        <f>IFERROR(__xludf.DUMMYFUNCTION("IMPORTRANGE(""https://docs.google.com/spreadsheets/d/1SX6NBoVAgQJ6U1MVXOaj8PK2l7WJ3RER9xtqwdhxkhw/edit?usp=sharing"",""พระนครศรีอยุธยา!J519"")"),0.0)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IFERROR(__xludf.DUMMYFUNCTION("IMPORTRANGE(""https://docs.google.com/spreadsheets/d/1SX6NBoVAgQJ6U1MVXOaj8PK2l7WJ3RER9xtqwdhxkhw/edit?usp=sharing"",""พระนครศรีอยุธยา!I520"")"),0.0)</f>
        <v>0</v>
      </c>
      <c r="J625" s="223">
        <f>IFERROR(__xludf.DUMMYFUNCTION("IMPORTRANGE(""https://docs.google.com/spreadsheets/d/1SX6NBoVAgQJ6U1MVXOaj8PK2l7WJ3RER9xtqwdhxkhw/edit?usp=sharing"",""พระนครศรีอยุธยา!J520"")"),0.0)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IFERROR(__xludf.DUMMYFUNCTION("IMPORTRANGE(""https://docs.google.com/spreadsheets/d/1SX6NBoVAgQJ6U1MVXOaj8PK2l7WJ3RER9xtqwdhxkhw/edit?usp=sharing"",""พระนครศรีอยุธยา!I521"")"),0.0)</f>
        <v>0</v>
      </c>
      <c r="J626" s="223">
        <f>IFERROR(__xludf.DUMMYFUNCTION("IMPORTRANGE(""https://docs.google.com/spreadsheets/d/1SX6NBoVAgQJ6U1MVXOaj8PK2l7WJ3RER9xtqwdhxkhw/edit?usp=sharing"",""พระนครศรีอยุธยา!J521"")"),0.0)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74">
        <f>IFERROR(__xludf.DUMMYFUNCTION("IMPORTRANGE(""https://docs.google.com/spreadsheets/d/1SX6NBoVAgQJ6U1MVXOaj8PK2l7WJ3RER9xtqwdhxkhw/edit?usp=sharing"",""พระนครศรีอยุธยา!J523"")"),0.0)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IFERROR(__xludf.DUMMYFUNCTION("IMPORTRANGE(""https://docs.google.com/spreadsheets/d/1SX6NBoVAgQJ6U1MVXOaj8PK2l7WJ3RER9xtqwdhxkhw/edit?usp=sharing"",""พระนครศรีอยุธยา!I524"")"),44.0)</f>
        <v>44</v>
      </c>
      <c r="J629" s="374">
        <f>IFERROR(__xludf.DUMMYFUNCTION("IMPORTRANGE(""https://docs.google.com/spreadsheets/d/1SX6NBoVAgQJ6U1MVXOaj8PK2l7WJ3RER9xtqwdhxkhw/edit?usp=sharing"",""พระนครศรีอยุธยา!J524"")"),0.0)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IFERROR(__xludf.DUMMYFUNCTION("IMPORTRANGE(""https://docs.google.com/spreadsheets/d/1SX6NBoVAgQJ6U1MVXOaj8PK2l7WJ3RER9xtqwdhxkhw/edit?usp=sharing"",""พระนครศรีอยุธยา!I525"")"),8858387.3)</f>
        <v>8858387.3</v>
      </c>
      <c r="J630" s="374">
        <f>IFERROR(__xludf.DUMMYFUNCTION("IMPORTRANGE(""https://docs.google.com/spreadsheets/d/1SX6NBoVAgQJ6U1MVXOaj8PK2l7WJ3RER9xtqwdhxkhw/edit?usp=sharing"",""พระนครศรีอยุธยา!J525"")"),673081.27)</f>
        <v>673081.27</v>
      </c>
      <c r="K630" s="375">
        <f t="shared" si="130"/>
        <v>7.598237097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IFERROR(__xludf.DUMMYFUNCTION("IMPORTRANGE(""https://docs.google.com/spreadsheets/d/1SX6NBoVAgQJ6U1MVXOaj8PK2l7WJ3RER9xtqwdhxkhw/edit?usp=sharing"",""พระนครศรีอยุธยา!I526"")"),266.0)</f>
        <v>266</v>
      </c>
      <c r="J631" s="374">
        <f>IFERROR(__xludf.DUMMYFUNCTION("IMPORTRANGE(""https://docs.google.com/spreadsheets/d/1SX6NBoVAgQJ6U1MVXOaj8PK2l7WJ3RER9xtqwdhxkhw/edit?usp=sharing"",""พระนครศรีอยุธยา!J526"")"),87.0)</f>
        <v>87</v>
      </c>
      <c r="K631" s="375">
        <f t="shared" si="130"/>
        <v>32.70676692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74">
        <f>IFERROR(__xludf.DUMMYFUNCTION("IMPORTRANGE(""https://docs.google.com/spreadsheets/d/1SX6NBoVAgQJ6U1MVXOaj8PK2l7WJ3RER9xtqwdhxkhw/edit?usp=sharing"",""พระนครศรีอยุธยา!J527"")"),129323.77)</f>
        <v>129323.77</v>
      </c>
      <c r="K632" s="375">
        <f t="shared" si="130"/>
        <v>8.508046768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IFERROR(__xludf.DUMMYFUNCTION("IMPORTRANGE(""https://docs.google.com/spreadsheets/d/1SX6NBoVAgQJ6U1MVXOaj8PK2l7WJ3RER9xtqwdhxkhw/edit?usp=sharing"",""พระนครศรีอยุธยา!I528"")"),1484.0)</f>
        <v>1484</v>
      </c>
      <c r="J633" s="374">
        <f>IFERROR(__xludf.DUMMYFUNCTION("IMPORTRANGE(""https://docs.google.com/spreadsheets/d/1SX6NBoVAgQJ6U1MVXOaj8PK2l7WJ3RER9xtqwdhxkhw/edit?usp=sharing"",""พระนครศรีอยุธยา!J528"")"),70.0)</f>
        <v>70</v>
      </c>
      <c r="K633" s="375">
        <f t="shared" si="130"/>
        <v>4.716981132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IFERROR(__xludf.DUMMYFUNCTION("IMPORTRANGE(""https://docs.google.com/spreadsheets/d/1SX6NBoVAgQJ6U1MVXOaj8PK2l7WJ3RER9xtqwdhxkhw/edit?usp=sharing"",""พระนครศรีอยุธยา!I529"")"),1500000.0)</f>
        <v>1500000</v>
      </c>
      <c r="J634" s="374">
        <f>IFERROR(__xludf.DUMMYFUNCTION("IMPORTRANGE(""https://docs.google.com/spreadsheets/d/1SX6NBoVAgQJ6U1MVXOaj8PK2l7WJ3RER9xtqwdhxkhw/edit?usp=sharing"",""พระนครศรีอยุธยา!J529"")"),0.0)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IFERROR(__xludf.DUMMYFUNCTION("IMPORTRANGE(""https://docs.google.com/spreadsheets/d/1SX6NBoVAgQJ6U1MVXOaj8PK2l7WJ3RER9xtqwdhxkhw/edit?usp=sharing"",""พระนครศรีอยุธยา!I530"")"),50.0)</f>
        <v>50</v>
      </c>
      <c r="J635" s="544">
        <f>IFERROR(__xludf.DUMMYFUNCTION("IMPORTRANGE(""https://docs.google.com/spreadsheets/d/1SX6NBoVAgQJ6U1MVXOaj8PK2l7WJ3RER9xtqwdhxkhw/edit?usp=sharing"",""พระนครศรีอยุธยา!J530"")"),0.0)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263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2885702</v>
      </c>
      <c r="M8" s="41">
        <f t="shared" si="1"/>
        <v>943095</v>
      </c>
      <c r="N8" s="41">
        <f t="shared" si="1"/>
        <v>1004994</v>
      </c>
      <c r="O8" s="40">
        <f t="shared" ref="O8:O16" si="3">IF(L8&gt;0,N8*100/L8,0)</f>
        <v>34.82667302</v>
      </c>
      <c r="P8" s="40">
        <f t="shared" ref="P8:P16" si="4">IF(M8&gt;0,N8*100/M8,0)</f>
        <v>106.5633897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2885702</v>
      </c>
      <c r="M10" s="48">
        <f t="shared" si="5"/>
        <v>943095</v>
      </c>
      <c r="N10" s="48">
        <f t="shared" si="5"/>
        <v>1004994</v>
      </c>
      <c r="O10" s="47">
        <f t="shared" si="3"/>
        <v>34.82667302</v>
      </c>
      <c r="P10" s="47">
        <f t="shared" si="4"/>
        <v>106.5633897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2659702</v>
      </c>
      <c r="M12" s="58">
        <f t="shared" si="7"/>
        <v>943095</v>
      </c>
      <c r="N12" s="58">
        <f t="shared" si="7"/>
        <v>826994</v>
      </c>
      <c r="O12" s="58">
        <f t="shared" si="3"/>
        <v>31.09348341</v>
      </c>
      <c r="P12" s="58">
        <f t="shared" si="4"/>
        <v>87.68936321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1547900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1111802</v>
      </c>
      <c r="M14" s="58">
        <f t="shared" si="9"/>
        <v>0</v>
      </c>
      <c r="N14" s="58">
        <f t="shared" si="9"/>
        <v>106735</v>
      </c>
      <c r="O14" s="61">
        <f t="shared" si="3"/>
        <v>9.600180608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226000</v>
      </c>
      <c r="M16" s="58">
        <f t="shared" si="11"/>
        <v>0</v>
      </c>
      <c r="N16" s="58">
        <f t="shared" si="11"/>
        <v>178000</v>
      </c>
      <c r="O16" s="70">
        <f t="shared" si="3"/>
        <v>78.76106195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2053105</v>
      </c>
      <c r="M18" s="41">
        <f t="shared" si="12"/>
        <v>943095</v>
      </c>
      <c r="N18" s="41">
        <f t="shared" si="12"/>
        <v>898259</v>
      </c>
      <c r="O18" s="40">
        <f t="shared" ref="O18:O20" si="14">IF(L18&gt;0,N18*100/L18,0)</f>
        <v>43.75124507</v>
      </c>
      <c r="P18" s="40">
        <f t="shared" ref="P18:P26" si="15">IF(M18&gt;0,N18*100/M18,0)</f>
        <v>95.24586601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2053105</v>
      </c>
      <c r="M20" s="48">
        <f t="shared" si="16"/>
        <v>943095</v>
      </c>
      <c r="N20" s="48">
        <f t="shared" si="16"/>
        <v>898259</v>
      </c>
      <c r="O20" s="47">
        <f t="shared" si="14"/>
        <v>43.75124507</v>
      </c>
      <c r="P20" s="47">
        <f t="shared" si="15"/>
        <v>95.24586601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1827105</v>
      </c>
      <c r="M22" s="62">
        <f t="shared" si="18"/>
        <v>943095</v>
      </c>
      <c r="N22" s="61">
        <f t="shared" si="18"/>
        <v>720259</v>
      </c>
      <c r="O22" s="61">
        <f t="shared" si="19"/>
        <v>39.42077768</v>
      </c>
      <c r="P22" s="61">
        <f t="shared" si="15"/>
        <v>76.37183953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1547900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279205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226000</v>
      </c>
      <c r="M26" s="70">
        <f t="shared" si="23"/>
        <v>0</v>
      </c>
      <c r="N26" s="70">
        <f t="shared" si="23"/>
        <v>178000</v>
      </c>
      <c r="O26" s="70">
        <f t="shared" si="19"/>
        <v>78.76106195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832597</v>
      </c>
      <c r="M28" s="41">
        <f t="shared" si="24"/>
        <v>0</v>
      </c>
      <c r="N28" s="41">
        <f t="shared" si="24"/>
        <v>106735</v>
      </c>
      <c r="O28" s="40">
        <f t="shared" ref="O28:O30" si="26">IF(L28&gt;0,N28*100/L28,0)</f>
        <v>12.81952733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832597</v>
      </c>
      <c r="M30" s="48">
        <f t="shared" si="28"/>
        <v>0</v>
      </c>
      <c r="N30" s="48">
        <f t="shared" si="28"/>
        <v>106735</v>
      </c>
      <c r="O30" s="47">
        <f t="shared" si="26"/>
        <v>12.81952733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832597</v>
      </c>
      <c r="M32" s="61">
        <f t="shared" si="30"/>
        <v>0</v>
      </c>
      <c r="N32" s="61">
        <f t="shared" si="30"/>
        <v>106735</v>
      </c>
      <c r="O32" s="61">
        <f t="shared" si="31"/>
        <v>12.81952733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832597</v>
      </c>
      <c r="M34" s="61">
        <f t="shared" si="33"/>
        <v>0</v>
      </c>
      <c r="N34" s="61">
        <f t="shared" si="33"/>
        <v>106735</v>
      </c>
      <c r="O34" s="61">
        <f t="shared" si="31"/>
        <v>12.81952733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2053105</v>
      </c>
      <c r="M37" s="75">
        <f t="shared" si="34"/>
        <v>943095</v>
      </c>
      <c r="N37" s="75">
        <f t="shared" si="34"/>
        <v>898259</v>
      </c>
      <c r="O37" s="76">
        <f t="shared" si="31"/>
        <v>43.75124507</v>
      </c>
      <c r="P37" s="76">
        <f t="shared" si="27"/>
        <v>95.24586601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910100</v>
      </c>
      <c r="M41" s="102">
        <f t="shared" si="35"/>
        <v>342100</v>
      </c>
      <c r="N41" s="102">
        <f t="shared" si="35"/>
        <v>457624</v>
      </c>
      <c r="O41" s="101">
        <f t="shared" ref="O41:O43" si="37">IF(L41&gt;0,N41*100/L41,0)</f>
        <v>50.28282606</v>
      </c>
      <c r="P41" s="101">
        <f t="shared" ref="P41:P43" si="38">IF(M41&gt;0,N41*100/M41,0)</f>
        <v>133.7690734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910100</v>
      </c>
      <c r="M43" s="102">
        <f t="shared" si="39"/>
        <v>342100</v>
      </c>
      <c r="N43" s="102">
        <f t="shared" si="39"/>
        <v>457624</v>
      </c>
      <c r="O43" s="101">
        <f t="shared" si="37"/>
        <v>50.28282606</v>
      </c>
      <c r="P43" s="101">
        <f t="shared" si="38"/>
        <v>133.7690734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684100</v>
      </c>
      <c r="M45" s="70">
        <f>IFERROR(__xludf.DUMMYFUNCTION("IMPORTRANGE(""https://docs.google.com/spreadsheets/d/1Yj_ptqi66GCucihVvJfMjLAmec39IyEx_6qawtMGysU/edit?usp=sharing"",""สบก!Q71"")"),342100.0)</f>
        <v>342100</v>
      </c>
      <c r="N45" s="70">
        <f>IFERROR(__xludf.DUMMYFUNCTION("IMPORTRANGE(""https://docs.google.com/spreadsheets/d/1Yj_ptqi66GCucihVvJfMjLAmec39IyEx_6qawtMGysU/edit?usp=sharing"",""สบก!R71"")"),279624.0)</f>
        <v>279624</v>
      </c>
      <c r="O45" s="61">
        <f>IF(L45&gt;0,N45*100/L45,0)</f>
        <v>40.87472592</v>
      </c>
      <c r="P45" s="61">
        <f>IF(M45&gt;0,N45*100/M45,0)</f>
        <v>81.73750365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IFERROR(__xludf.DUMMYFUNCTION("IMPORTRANGE(""https://docs.google.com/spreadsheets/d/1Yj_ptqi66GCucihVvJfMjLAmec39IyEx_6qawtMGysU/edit?usp=sharing"",""สบก!M71"")"),684100.0)</f>
        <v>684100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IFERROR(__xludf.DUMMYFUNCTION("IMPORTRANGE(""https://docs.google.com/spreadsheets/d/1Yj_ptqi66GCucihVvJfMjLAmec39IyEx_6qawtMGysU/edit?usp=sharing"",""สบก!N71"")"),0.0)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IFERROR(__xludf.DUMMYFUNCTION("IMPORTRANGE(""https://docs.google.com/spreadsheets/d/1Yj_ptqi66GCucihVvJfMjLAmec39IyEx_6qawtMGysU/edit?usp=sharing"",""สบก!O71"")"),226000.0)</f>
        <v>226000</v>
      </c>
      <c r="M49" s="70"/>
      <c r="N49" s="70">
        <f>IFERROR(__xludf.DUMMYFUNCTION("IMPORTRANGE(""https://docs.google.com/spreadsheets/d/1Yj_ptqi66GCucihVvJfMjLAmec39IyEx_6qawtMGysU/edit?usp=sharing"",""สบก!S71"")"),178000.0)</f>
        <v>178000</v>
      </c>
      <c r="O49" s="70">
        <f>IF(L49&gt;0,N49*100/L49,0)</f>
        <v>78.76106195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370000</v>
      </c>
      <c r="M53" s="151">
        <f t="shared" si="40"/>
        <v>194000</v>
      </c>
      <c r="N53" s="151">
        <f t="shared" si="40"/>
        <v>101633</v>
      </c>
      <c r="O53" s="150">
        <f t="shared" ref="O53:O55" si="42">IF(L53&gt;0,N53*100/L53,0)</f>
        <v>27.46837838</v>
      </c>
      <c r="P53" s="150">
        <f t="shared" ref="P53:P55" si="43">IF(M53&gt;0,N53*100/M53,0)</f>
        <v>52.38814433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370000</v>
      </c>
      <c r="M55" s="151">
        <f t="shared" si="44"/>
        <v>194000</v>
      </c>
      <c r="N55" s="151">
        <f t="shared" si="44"/>
        <v>101633</v>
      </c>
      <c r="O55" s="150">
        <f t="shared" si="42"/>
        <v>27.46837838</v>
      </c>
      <c r="P55" s="150">
        <f t="shared" si="43"/>
        <v>52.38814433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370000</v>
      </c>
      <c r="M57" s="70">
        <f>IFERROR(__xludf.DUMMYFUNCTION("IMPORTRANGE(""https://docs.google.com/spreadsheets/d/1Yj_ptqi66GCucihVvJfMjLAmec39IyEx_6qawtMGysU/edit?usp=sharing"",""สบก!Z71"")"),194000.0)</f>
        <v>194000</v>
      </c>
      <c r="N57" s="70">
        <f>IFERROR(__xludf.DUMMYFUNCTION("IMPORTRANGE(""https://docs.google.com/spreadsheets/d/1Yj_ptqi66GCucihVvJfMjLAmec39IyEx_6qawtMGysU/edit?usp=sharing"",""สบก!AA71"")"),101633.0)</f>
        <v>101633</v>
      </c>
      <c r="O57" s="61">
        <f>IF(L57&gt;0,N57*100/L57,0)</f>
        <v>27.46837838</v>
      </c>
      <c r="P57" s="61">
        <f>IF(M57&gt;0,N57*100/M57,0)</f>
        <v>52.38814433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IFERROR(__xludf.DUMMYFUNCTION("IMPORTRANGE(""https://docs.google.com/spreadsheets/d/1Yj_ptqi66GCucihVvJfMjLAmec39IyEx_6qawtMGysU/edit?usp=sharing"",""สบก!V71"")"),370000.0)</f>
        <v>370000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IFERROR(__xludf.DUMMYFUNCTION("IMPORTRANGE(""https://docs.google.com/spreadsheets/d/1Yj_ptqi66GCucihVvJfMjLAmec39IyEx_6qawtMGysU/edit?usp=sharing"",""สบก!W71"")"),0.0)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IFERROR(__xludf.DUMMYFUNCTION("IMPORTRANGE(""https://docs.google.com/spreadsheets/d/1Yj_ptqi66GCucihVvJfMjLAmec39IyEx_6qawtMGysU/edit?usp=sharing"",""สบก!X71"")"),0.0)</f>
        <v>0</v>
      </c>
      <c r="M61" s="70"/>
      <c r="N61" s="70">
        <f>IFERROR(__xludf.DUMMYFUNCTION("IMPORTRANGE(""https://docs.google.com/spreadsheets/d/1Yj_ptqi66GCucihVvJfMjLAmec39IyEx_6qawtMGysU/edit?usp=sharing"",""สบก!AB71"")"),0.0)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IFERROR(__xludf.DUMMYFUNCTION("IMPORTRANGE(""https://docs.google.com/spreadsheets/d/1SX6NBoVAgQJ6U1MVXOaj8PK2l7WJ3RER9xtqwdhxkhw/edit?usp=sharing"",""เพชรบุรี!I9"")"),0.0)</f>
        <v>0</v>
      </c>
      <c r="J64" s="172">
        <f>IFERROR(__xludf.DUMMYFUNCTION("IMPORTRANGE(""https://docs.google.com/spreadsheets/d/1SX6NBoVAgQJ6U1MVXOaj8PK2l7WJ3RER9xtqwdhxkhw/edit?usp=sharing"",""เพชรบุรี!J9"")"),0.0)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IFERROR(__xludf.DUMMYFUNCTION("IMPORTRANGE(""https://docs.google.com/spreadsheets/d/1SX6NBoVAgQJ6U1MVXOaj8PK2l7WJ3RER9xtqwdhxkhw/edit?usp=sharing"",""เพชรบุรี!I10"")"),0.0)</f>
        <v>0</v>
      </c>
      <c r="J65" s="172">
        <f>IFERROR(__xludf.DUMMYFUNCTION("IMPORTRANGE(""https://docs.google.com/spreadsheets/d/1SX6NBoVAgQJ6U1MVXOaj8PK2l7WJ3RER9xtqwdhxkhw/edit?usp=sharing"",""เพชรบุรี!J10"")"),0.0)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IFERROR(__xludf.DUMMYFUNCTION("IMPORTRANGE(""https://docs.google.com/spreadsheets/d/1Yj_ptqi66GCucihVvJfMjLAmec39IyEx_6qawtMGysU/edit?usp=sharing"",""สบก!AI71"")"),0.0)</f>
        <v>0</v>
      </c>
      <c r="N70" s="203">
        <f>IFERROR(__xludf.DUMMYFUNCTION("IMPORTRANGE(""https://docs.google.com/spreadsheets/d/1Yj_ptqi66GCucihVvJfMjLAmec39IyEx_6qawtMGysU/edit?usp=sharing"",""สบก!AJ71"")"),0.0)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IFERROR(__xludf.DUMMYFUNCTION("IMPORTRANGE(""https://docs.google.com/spreadsheets/d/1Yj_ptqi66GCucihVvJfMjLAmec39IyEx_6qawtMGysU/edit?usp=sharing"",""สบก!AE71"")"),0.0)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IFERROR(__xludf.DUMMYFUNCTION("IMPORTRANGE(""https://docs.google.com/spreadsheets/d/1Yj_ptqi66GCucihVvJfMjLAmec39IyEx_6qawtMGysU/edit?usp=sharing"",""สบก!AF71"")"),0.0)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IFERROR(__xludf.DUMMYFUNCTION("IMPORTRANGE(""https://docs.google.com/spreadsheets/d/1Yj_ptqi66GCucihVvJfMjLAmec39IyEx_6qawtMGysU/edit?usp=sharing"",""สบก!AG71"")"),0.0)</f>
        <v>0</v>
      </c>
      <c r="M74" s="70"/>
      <c r="N74" s="70">
        <f>IFERROR(__xludf.DUMMYFUNCTION("IMPORTRANGE(""https://docs.google.com/spreadsheets/d/1Yj_ptqi66GCucihVvJfMjLAmec39IyEx_6qawtMGysU/edit?usp=sharing"",""สบก!AK71"")"),0.0)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IFERROR(__xludf.DUMMYFUNCTION("IMPORTRANGE(""https://docs.google.com/spreadsheets/d/1SX6NBoVAgQJ6U1MVXOaj8PK2l7WJ3RER9xtqwdhxkhw/edit?usp=sharing"",""เพชรบุรี!J16"")"),0.0)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IFERROR(__xludf.DUMMYFUNCTION("IMPORTRANGE(""https://docs.google.com/spreadsheets/d/1SX6NBoVAgQJ6U1MVXOaj8PK2l7WJ3RER9xtqwdhxkhw/edit?usp=sharing"",""เพชรบุรี!J17"")"),0.0)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IFERROR(__xludf.DUMMYFUNCTION("IMPORTRANGE(""https://docs.google.com/spreadsheets/d/1SX6NBoVAgQJ6U1MVXOaj8PK2l7WJ3RER9xtqwdhxkhw/edit?usp=sharing"",""เพชรบุรี!J18"")"),0.0)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IFERROR(__xludf.DUMMYFUNCTION("IMPORTRANGE(""https://docs.google.com/spreadsheets/d/1SX6NBoVAgQJ6U1MVXOaj8PK2l7WJ3RER9xtqwdhxkhw/edit?usp=sharing"",""เพชรบุรี!J19"")"),0.0)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IFERROR(__xludf.DUMMYFUNCTION("IMPORTRANGE(""https://docs.google.com/spreadsheets/d/1SX6NBoVAgQJ6U1MVXOaj8PK2l7WJ3RER9xtqwdhxkhw/edit?usp=sharing"",""เพชรบุรี!I20"")"),0.0)</f>
        <v>0</v>
      </c>
      <c r="J80" s="235">
        <f>IFERROR(__xludf.DUMMYFUNCTION("IMPORTRANGE(""https://docs.google.com/spreadsheets/d/1SX6NBoVAgQJ6U1MVXOaj8PK2l7WJ3RER9xtqwdhxkhw/edit?usp=sharing"",""เพชรบุรี!J20"")"),0.0)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IFERROR(__xludf.DUMMYFUNCTION("IMPORTRANGE(""https://docs.google.com/spreadsheets/d/1SX6NBoVAgQJ6U1MVXOaj8PK2l7WJ3RER9xtqwdhxkhw/edit?usp=sharing"",""เพชรบุรี!I21"")"),0.0)</f>
        <v>0</v>
      </c>
      <c r="J81" s="235">
        <f>IFERROR(__xludf.DUMMYFUNCTION("IMPORTRANGE(""https://docs.google.com/spreadsheets/d/1SX6NBoVAgQJ6U1MVXOaj8PK2l7WJ3RER9xtqwdhxkhw/edit?usp=sharing"",""เพชรบุรี!J21"")"),0.0)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IFERROR(__xludf.DUMMYFUNCTION("IMPORTRANGE(""https://docs.google.com/spreadsheets/d/1SX6NBoVAgQJ6U1MVXOaj8PK2l7WJ3RER9xtqwdhxkhw/edit?usp=sharing"",""เพชรบุรี!I22"")"),0.0)</f>
        <v>0</v>
      </c>
      <c r="J82" s="238">
        <f>IFERROR(__xludf.DUMMYFUNCTION("IMPORTRANGE(""https://docs.google.com/spreadsheets/d/1SX6NBoVAgQJ6U1MVXOaj8PK2l7WJ3RER9xtqwdhxkhw/edit?usp=sharing"",""เพชรบุรี!J22"")"),0.0)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IFERROR(__xludf.DUMMYFUNCTION("IMPORTRANGE(""https://docs.google.com/spreadsheets/d/1SX6NBoVAgQJ6U1MVXOaj8PK2l7WJ3RER9xtqwdhxkhw/edit?usp=sharing"",""เพชรบุรี!I23"")"),0.0)</f>
        <v>0</v>
      </c>
      <c r="J83" s="238">
        <f>IFERROR(__xludf.DUMMYFUNCTION("IMPORTRANGE(""https://docs.google.com/spreadsheets/d/1SX6NBoVAgQJ6U1MVXOaj8PK2l7WJ3RER9xtqwdhxkhw/edit?usp=sharing"",""เพชรบุรี!J23"")"),0.0)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IFERROR(__xludf.DUMMYFUNCTION("IMPORTRANGE(""https://docs.google.com/spreadsheets/d/1SX6NBoVAgQJ6U1MVXOaj8PK2l7WJ3RER9xtqwdhxkhw/edit?usp=sharing"",""เพชรบุรี!I24"")"),0.0)</f>
        <v>0</v>
      </c>
      <c r="J84" s="223">
        <f>IFERROR(__xludf.DUMMYFUNCTION("IMPORTRANGE(""https://docs.google.com/spreadsheets/d/1SX6NBoVAgQJ6U1MVXOaj8PK2l7WJ3RER9xtqwdhxkhw/edit?usp=sharing"",""เพชรบุรี!J24"")"),0.0)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IFERROR(__xludf.DUMMYFUNCTION("IMPORTRANGE(""https://docs.google.com/spreadsheets/d/1SX6NBoVAgQJ6U1MVXOaj8PK2l7WJ3RER9xtqwdhxkhw/edit?usp=sharing"",""เพชรบุรี!I25"")"),0.0)</f>
        <v>0</v>
      </c>
      <c r="J85" s="223">
        <f>IFERROR(__xludf.DUMMYFUNCTION("IMPORTRANGE(""https://docs.google.com/spreadsheets/d/1SX6NBoVAgQJ6U1MVXOaj8PK2l7WJ3RER9xtqwdhxkhw/edit?usp=sharing"",""เพชรบุรี!J25"")"),0.0)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IFERROR(__xludf.DUMMYFUNCTION("IMPORTRANGE(""https://docs.google.com/spreadsheets/d/1SX6NBoVAgQJ6U1MVXOaj8PK2l7WJ3RER9xtqwdhxkhw/edit?usp=sharing"",""เพชรบุรี!I26"")"),0.0)</f>
        <v>0</v>
      </c>
      <c r="J86" s="238">
        <f>IFERROR(__xludf.DUMMYFUNCTION("IMPORTRANGE(""https://docs.google.com/spreadsheets/d/1SX6NBoVAgQJ6U1MVXOaj8PK2l7WJ3RER9xtqwdhxkhw/edit?usp=sharing"",""เพชรบุรี!J26"")"),0.0)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IFERROR(__xludf.DUMMYFUNCTION("IMPORTRANGE(""https://docs.google.com/spreadsheets/d/1SX6NBoVAgQJ6U1MVXOaj8PK2l7WJ3RER9xtqwdhxkhw/edit?usp=sharing"",""เพชรบุรี!I27"")"),0.0)</f>
        <v>0</v>
      </c>
      <c r="J87" s="238">
        <f>IFERROR(__xludf.DUMMYFUNCTION("IMPORTRANGE(""https://docs.google.com/spreadsheets/d/1SX6NBoVAgQJ6U1MVXOaj8PK2l7WJ3RER9xtqwdhxkhw/edit?usp=sharing"",""เพชรบุรี!J27"")"),0.0)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IFERROR(__xludf.DUMMYFUNCTION("IMPORTRANGE(""https://docs.google.com/spreadsheets/d/1SX6NBoVAgQJ6U1MVXOaj8PK2l7WJ3RER9xtqwdhxkhw/edit?usp=sharing"",""เพชรบุรี!I28"")"),0.0)</f>
        <v>0</v>
      </c>
      <c r="J88" s="238">
        <f>IFERROR(__xludf.DUMMYFUNCTION("IMPORTRANGE(""https://docs.google.com/spreadsheets/d/1SX6NBoVAgQJ6U1MVXOaj8PK2l7WJ3RER9xtqwdhxkhw/edit?usp=sharing"",""เพชรบุรี!J28"")"),0.0)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IFERROR(__xludf.DUMMYFUNCTION("IMPORTRANGE(""https://docs.google.com/spreadsheets/d/1SX6NBoVAgQJ6U1MVXOaj8PK2l7WJ3RER9xtqwdhxkhw/edit?usp=sharing"",""เพชรบุรี!J29"")"),0.0)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IFERROR(__xludf.DUMMYFUNCTION("IMPORTRANGE(""https://docs.google.com/spreadsheets/d/1SX6NBoVAgQJ6U1MVXOaj8PK2l7WJ3RER9xtqwdhxkhw/edit?usp=sharing"",""เพชรบุรี!J30"")"),0.0)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IFERROR(__xludf.DUMMYFUNCTION("IMPORTRANGE(""https://docs.google.com/spreadsheets/d/1SX6NBoVAgQJ6U1MVXOaj8PK2l7WJ3RER9xtqwdhxkhw/edit?usp=sharing"",""เพชรบุรี!I32"")"),0.0)</f>
        <v>0</v>
      </c>
      <c r="J92" s="172">
        <f>IFERROR(__xludf.DUMMYFUNCTION("IMPORTRANGE(""https://docs.google.com/spreadsheets/d/1SX6NBoVAgQJ6U1MVXOaj8PK2l7WJ3RER9xtqwdhxkhw/edit?usp=sharing"",""เพชรบุรี!J32"")"),0.0)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IFERROR(__xludf.DUMMYFUNCTION("IMPORTRANGE(""https://docs.google.com/spreadsheets/d/1SX6NBoVAgQJ6U1MVXOaj8PK2l7WJ3RER9xtqwdhxkhw/edit?usp=sharing"",""เพชรบุรี!I33"")"),0.0)</f>
        <v>0</v>
      </c>
      <c r="J93" s="172">
        <f>IFERROR(__xludf.DUMMYFUNCTION("IMPORTRANGE(""https://docs.google.com/spreadsheets/d/1SX6NBoVAgQJ6U1MVXOaj8PK2l7WJ3RER9xtqwdhxkhw/edit?usp=sharing"",""เพชรบุรี!J33"")"),0.0)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IFERROR(__xludf.DUMMYFUNCTION("IMPORTRANGE(""https://docs.google.com/spreadsheets/d/1Yj_ptqi66GCucihVvJfMjLAmec39IyEx_6qawtMGysU/edit?usp=sharing"",""สบก!AR71"")"),0.0)</f>
        <v>0</v>
      </c>
      <c r="N98" s="203">
        <f>IFERROR(__xludf.DUMMYFUNCTION("IMPORTRANGE(""https://docs.google.com/spreadsheets/d/1Yj_ptqi66GCucihVvJfMjLAmec39IyEx_6qawtMGysU/edit?usp=sharing"",""สบก!AS71"")"),0.0)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IFERROR(__xludf.DUMMYFUNCTION("IMPORTRANGE(""https://docs.google.com/spreadsheets/d/1Yj_ptqi66GCucihVvJfMjLAmec39IyEx_6qawtMGysU/edit?usp=sharing"",""สบก!AN71"")"),0.0)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IFERROR(__xludf.DUMMYFUNCTION("IMPORTRANGE(""https://docs.google.com/spreadsheets/d/1Yj_ptqi66GCucihVvJfMjLAmec39IyEx_6qawtMGysU/edit?usp=sharing"",""สบก!AO71"")"),0.0)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IFERROR(__xludf.DUMMYFUNCTION("IMPORTRANGE(""https://docs.google.com/spreadsheets/d/1Yj_ptqi66GCucihVvJfMjLAmec39IyEx_6qawtMGysU/edit?usp=sharing"",""สบก!AP71"")"),0.0)</f>
        <v>0</v>
      </c>
      <c r="M102" s="70"/>
      <c r="N102" s="70">
        <f>IFERROR(__xludf.DUMMYFUNCTION("IMPORTRANGE(""https://docs.google.com/spreadsheets/d/1Yj_ptqi66GCucihVvJfMjLAmec39IyEx_6qawtMGysU/edit?usp=sharing"",""สบก!AT71"")"),0.0)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IFERROR(__xludf.DUMMYFUNCTION("IMPORTRANGE(""https://docs.google.com/spreadsheets/d/1SX6NBoVAgQJ6U1MVXOaj8PK2l7WJ3RER9xtqwdhxkhw/edit?usp=sharing"",""เพชรบุรี!J39"")"),0.0)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IFERROR(__xludf.DUMMYFUNCTION("IMPORTRANGE(""https://docs.google.com/spreadsheets/d/1SX6NBoVAgQJ6U1MVXOaj8PK2l7WJ3RER9xtqwdhxkhw/edit?usp=sharing"",""เพชรบุรี!J40"")"),0.0)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IFERROR(__xludf.DUMMYFUNCTION("IMPORTRANGE(""https://docs.google.com/spreadsheets/d/1SX6NBoVAgQJ6U1MVXOaj8PK2l7WJ3RER9xtqwdhxkhw/edit?usp=sharing"",""เพชรบุรี!J41"")"),0.0)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IFERROR(__xludf.DUMMYFUNCTION("IMPORTRANGE(""https://docs.google.com/spreadsheets/d/1SX6NBoVAgQJ6U1MVXOaj8PK2l7WJ3RER9xtqwdhxkhw/edit?usp=sharing"",""เพชรบุรี!J42"")"),0.0)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IFERROR(__xludf.DUMMYFUNCTION("IMPORTRANGE(""https://docs.google.com/spreadsheets/d/1SX6NBoVAgQJ6U1MVXOaj8PK2l7WJ3RER9xtqwdhxkhw/edit?usp=sharing"",""เพชรบุรี!I43"")"),0.0)</f>
        <v>0</v>
      </c>
      <c r="J108" s="238">
        <f>IFERROR(__xludf.DUMMYFUNCTION("IMPORTRANGE(""https://docs.google.com/spreadsheets/d/1SX6NBoVAgQJ6U1MVXOaj8PK2l7WJ3RER9xtqwdhxkhw/edit?usp=sharing"",""เพชรบุรี!J43"")"),0.0)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IFERROR(__xludf.DUMMYFUNCTION("IMPORTRANGE(""https://docs.google.com/spreadsheets/d/1SX6NBoVAgQJ6U1MVXOaj8PK2l7WJ3RER9xtqwdhxkhw/edit?usp=sharing"",""เพชรบุรี!I44"")"),0.0)</f>
        <v>0</v>
      </c>
      <c r="J109" s="238">
        <f>IFERROR(__xludf.DUMMYFUNCTION("IMPORTRANGE(""https://docs.google.com/spreadsheets/d/1SX6NBoVAgQJ6U1MVXOaj8PK2l7WJ3RER9xtqwdhxkhw/edit?usp=sharing"",""เพชรบุรี!J44"")"),0.0)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IFERROR(__xludf.DUMMYFUNCTION("IMPORTRANGE(""https://docs.google.com/spreadsheets/d/1SX6NBoVAgQJ6U1MVXOaj8PK2l7WJ3RER9xtqwdhxkhw/edit?usp=sharing"",""เพชรบุรี!I45"")"),0.0)</f>
        <v>0</v>
      </c>
      <c r="J110" s="238">
        <f>IFERROR(__xludf.DUMMYFUNCTION("IMPORTRANGE(""https://docs.google.com/spreadsheets/d/1SX6NBoVAgQJ6U1MVXOaj8PK2l7WJ3RER9xtqwdhxkhw/edit?usp=sharing"",""เพชรบุรี!J45"")"),0.0)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IFERROR(__xludf.DUMMYFUNCTION("IMPORTRANGE(""https://docs.google.com/spreadsheets/d/1SX6NBoVAgQJ6U1MVXOaj8PK2l7WJ3RER9xtqwdhxkhw/edit?usp=sharing"",""เพชรบุรี!I46"")"),0.0)</f>
        <v>0</v>
      </c>
      <c r="J111" s="238">
        <f>IFERROR(__xludf.DUMMYFUNCTION("IMPORTRANGE(""https://docs.google.com/spreadsheets/d/1SX6NBoVAgQJ6U1MVXOaj8PK2l7WJ3RER9xtqwdhxkhw/edit?usp=sharing"",""เพชรบุรี!J46"")"),0.0)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IFERROR(__xludf.DUMMYFUNCTION("IMPORTRANGE(""https://docs.google.com/spreadsheets/d/1SX6NBoVAgQJ6U1MVXOaj8PK2l7WJ3RER9xtqwdhxkhw/edit?usp=sharing"",""เพชรบุรี!I47"")"),0.0)</f>
        <v>0</v>
      </c>
      <c r="J112" s="238">
        <f>IFERROR(__xludf.DUMMYFUNCTION("IMPORTRANGE(""https://docs.google.com/spreadsheets/d/1SX6NBoVAgQJ6U1MVXOaj8PK2l7WJ3RER9xtqwdhxkhw/edit?usp=sharing"",""เพชรบุรี!J47"")"),0.0)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IFERROR(__xludf.DUMMYFUNCTION("IMPORTRANGE(""https://docs.google.com/spreadsheets/d/1SX6NBoVAgQJ6U1MVXOaj8PK2l7WJ3RER9xtqwdhxkhw/edit?usp=sharing"",""เพชรบุรี!I48"")"),0.0)</f>
        <v>0</v>
      </c>
      <c r="J113" s="238">
        <f>IFERROR(__xludf.DUMMYFUNCTION("IMPORTRANGE(""https://docs.google.com/spreadsheets/d/1SX6NBoVAgQJ6U1MVXOaj8PK2l7WJ3RER9xtqwdhxkhw/edit?usp=sharing"",""เพชรบุรี!J48"")"),0.0)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IFERROR(__xludf.DUMMYFUNCTION("IMPORTRANGE(""https://docs.google.com/spreadsheets/d/1SX6NBoVAgQJ6U1MVXOaj8PK2l7WJ3RER9xtqwdhxkhw/edit?usp=sharing"",""เพชรบุรี!J49"")"),0.0)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IFERROR(__xludf.DUMMYFUNCTION("IMPORTRANGE(""https://docs.google.com/spreadsheets/d/1SX6NBoVAgQJ6U1MVXOaj8PK2l7WJ3RER9xtqwdhxkhw/edit?usp=sharing"",""เพชรบุรี!J50"")"),0.0)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IFERROR(__xludf.DUMMYFUNCTION("IMPORTRANGE(""https://docs.google.com/spreadsheets/d/1SX6NBoVAgQJ6U1MVXOaj8PK2l7WJ3RER9xtqwdhxkhw/edit?usp=sharing"",""เพชรบุรี!I52"")"),0.0)</f>
        <v>0</v>
      </c>
      <c r="J117" s="172">
        <f>IFERROR(__xludf.DUMMYFUNCTION("IMPORTRANGE(""https://docs.google.com/spreadsheets/d/1SX6NBoVAgQJ6U1MVXOaj8PK2l7WJ3RER9xtqwdhxkhw/edit?usp=sharing"",""เพชรบุรี!J52"")"),0.0)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IFERROR(__xludf.DUMMYFUNCTION("IMPORTRANGE(""https://docs.google.com/spreadsheets/d/1Yj_ptqi66GCucihVvJfMjLAmec39IyEx_6qawtMGysU/edit?usp=sharing"",""สบก!BA71"")"),0.0)</f>
        <v>0</v>
      </c>
      <c r="N122" s="203">
        <f>IFERROR(__xludf.DUMMYFUNCTION("IMPORTRANGE(""https://docs.google.com/spreadsheets/d/1Yj_ptqi66GCucihVvJfMjLAmec39IyEx_6qawtMGysU/edit?usp=sharing"",""สบก!BB71"")"),0.0)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IFERROR(__xludf.DUMMYFUNCTION("IMPORTRANGE(""https://docs.google.com/spreadsheets/d/1Yj_ptqi66GCucihVvJfMjLAmec39IyEx_6qawtMGysU/edit?usp=sharing"",""สบก!AW71"")"),0.0)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IFERROR(__xludf.DUMMYFUNCTION("IMPORTRANGE(""https://docs.google.com/spreadsheets/d/1Yj_ptqi66GCucihVvJfMjLAmec39IyEx_6qawtMGysU/edit?usp=sharing"",""สบก!AX71"")"),0.0)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IFERROR(__xludf.DUMMYFUNCTION("IMPORTRANGE(""https://docs.google.com/spreadsheets/d/1Yj_ptqi66GCucihVvJfMjLAmec39IyEx_6qawtMGysU/edit?usp=sharing"",""สบก!AY71"")"),0.0)</f>
        <v>0</v>
      </c>
      <c r="M126" s="70"/>
      <c r="N126" s="70">
        <f>IFERROR(__xludf.DUMMYFUNCTION("IMPORTRANGE(""https://docs.google.com/spreadsheets/d/1Yj_ptqi66GCucihVvJfMjLAmec39IyEx_6qawtMGysU/edit?usp=sharing"",""สบก!BC71"")"),0.0)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264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IFERROR(__xludf.DUMMYFUNCTION("IMPORTRANGE(""https://docs.google.com/spreadsheets/d/1SX6NBoVAgQJ6U1MVXOaj8PK2l7WJ3RER9xtqwdhxkhw/edit?usp=sharing"",""เพชรบุรี!J58"")"),0.0)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IFERROR(__xludf.DUMMYFUNCTION("IMPORTRANGE(""https://docs.google.com/spreadsheets/d/1SX6NBoVAgQJ6U1MVXOaj8PK2l7WJ3RER9xtqwdhxkhw/edit?usp=sharing"",""เพชรบุรี!J59"")"),0.0)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IFERROR(__xludf.DUMMYFUNCTION("IMPORTRANGE(""https://docs.google.com/spreadsheets/d/1SX6NBoVAgQJ6U1MVXOaj8PK2l7WJ3RER9xtqwdhxkhw/edit?usp=sharing"",""เพชรบุรี!J60"")"),0.0)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IFERROR(__xludf.DUMMYFUNCTION("IMPORTRANGE(""https://docs.google.com/spreadsheets/d/1SX6NBoVAgQJ6U1MVXOaj8PK2l7WJ3RER9xtqwdhxkhw/edit?usp=sharing"",""เพชรบุรี!J61"")"),0.0)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IFERROR(__xludf.DUMMYFUNCTION("IMPORTRANGE(""https://docs.google.com/spreadsheets/d/1SX6NBoVAgQJ6U1MVXOaj8PK2l7WJ3RER9xtqwdhxkhw/edit?usp=sharing"",""เพชรบุรี!I62"")"),0.0)</f>
        <v>0</v>
      </c>
      <c r="J132" s="238">
        <f>IFERROR(__xludf.DUMMYFUNCTION("IMPORTRANGE(""https://docs.google.com/spreadsheets/d/1SX6NBoVAgQJ6U1MVXOaj8PK2l7WJ3RER9xtqwdhxkhw/edit?usp=sharing"",""เพชรบุรี!J62"")"),0.0)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IFERROR(__xludf.DUMMYFUNCTION("IMPORTRANGE(""https://docs.google.com/spreadsheets/d/1SX6NBoVAgQJ6U1MVXOaj8PK2l7WJ3RER9xtqwdhxkhw/edit?usp=sharing"",""เพชรบุรี!I63"")"),0.0)</f>
        <v>0</v>
      </c>
      <c r="J133" s="238">
        <f>IFERROR(__xludf.DUMMYFUNCTION("IMPORTRANGE(""https://docs.google.com/spreadsheets/d/1SX6NBoVAgQJ6U1MVXOaj8PK2l7WJ3RER9xtqwdhxkhw/edit?usp=sharing"",""เพชรบุรี!J63"")"),0.0)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IFERROR(__xludf.DUMMYFUNCTION("IMPORTRANGE(""https://docs.google.com/spreadsheets/d/1SX6NBoVAgQJ6U1MVXOaj8PK2l7WJ3RER9xtqwdhxkhw/edit?usp=sharing"",""เพชรบุรี!J64"")"),0.0)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IFERROR(__xludf.DUMMYFUNCTION("IMPORTRANGE(""https://docs.google.com/spreadsheets/d/1SX6NBoVAgQJ6U1MVXOaj8PK2l7WJ3RER9xtqwdhxkhw/edit?usp=sharing"",""เพชรบุรี!J65"")"),0.0)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IFERROR(__xludf.DUMMYFUNCTION("IMPORTRANGE(""https://docs.google.com/spreadsheets/d/1SX6NBoVAgQJ6U1MVXOaj8PK2l7WJ3RER9xtqwdhxkhw/edit?usp=sharing"",""เพชรบุรี!I68"")"),0.0)</f>
        <v>0</v>
      </c>
      <c r="J138" s="301">
        <f>IFERROR(__xludf.DUMMYFUNCTION("IMPORTRANGE(""https://docs.google.com/spreadsheets/d/1SX6NBoVAgQJ6U1MVXOaj8PK2l7WJ3RER9xtqwdhxkhw/edit?usp=sharing"",""เพชรบุรี!J68"")"),0.0)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50000</v>
      </c>
      <c r="M140" s="183">
        <f t="shared" si="65"/>
        <v>31750</v>
      </c>
      <c r="N140" s="183">
        <f t="shared" si="65"/>
        <v>23385</v>
      </c>
      <c r="O140" s="182">
        <f t="shared" ref="O140:O142" si="67">IF(L140&gt;0,N140*100/L140,0)</f>
        <v>46.77</v>
      </c>
      <c r="P140" s="182">
        <f t="shared" ref="P140:P142" si="68">IF(M140&gt;0,N140*100/M140,0)</f>
        <v>73.65354331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50000</v>
      </c>
      <c r="M142" s="188">
        <f t="shared" si="69"/>
        <v>31750</v>
      </c>
      <c r="N142" s="188">
        <f t="shared" si="69"/>
        <v>23385</v>
      </c>
      <c r="O142" s="187">
        <f t="shared" si="67"/>
        <v>46.77</v>
      </c>
      <c r="P142" s="187">
        <f t="shared" si="68"/>
        <v>73.65354331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50000</v>
      </c>
      <c r="M144" s="200">
        <f>IFERROR(__xludf.DUMMYFUNCTION("IMPORTRANGE(""https://docs.google.com/spreadsheets/d/1Yj_ptqi66GCucihVvJfMjLAmec39IyEx_6qawtMGysU/edit?usp=sharing"",""สบก!BJ71"")"),31750.0)</f>
        <v>31750</v>
      </c>
      <c r="N144" s="203">
        <f>IFERROR(__xludf.DUMMYFUNCTION("IMPORTRANGE(""https://docs.google.com/spreadsheets/d/1Yj_ptqi66GCucihVvJfMjLAmec39IyEx_6qawtMGysU/edit?usp=sharing"",""สบก!BK71"")"),23385.0)</f>
        <v>23385</v>
      </c>
      <c r="O144" s="203">
        <f>IF(L144&gt;0,N144*100/L144,0)</f>
        <v>46.77</v>
      </c>
      <c r="P144" s="203">
        <f>IF(M144&gt;0,N144*100/M144,0)</f>
        <v>73.65354331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IFERROR(__xludf.DUMMYFUNCTION("IMPORTRANGE(""https://docs.google.com/spreadsheets/d/1Yj_ptqi66GCucihVvJfMjLAmec39IyEx_6qawtMGysU/edit?usp=sharing"",""สบก!BF71"")"),0.0)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IFERROR(__xludf.DUMMYFUNCTION("IMPORTRANGE(""https://docs.google.com/spreadsheets/d/1Yj_ptqi66GCucihVvJfMjLAmec39IyEx_6qawtMGysU/edit?usp=sharing"",""สบก!BG71"")"),50000.0)</f>
        <v>50000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IFERROR(__xludf.DUMMYFUNCTION("IMPORTRANGE(""https://docs.google.com/spreadsheets/d/1Yj_ptqi66GCucihVvJfMjLAmec39IyEx_6qawtMGysU/edit?usp=sharing"",""สบก!BH71"")"),0.0)</f>
        <v>0</v>
      </c>
      <c r="M148" s="70"/>
      <c r="N148" s="70">
        <f>IFERROR(__xludf.DUMMYFUNCTION("IMPORTRANGE(""https://docs.google.com/spreadsheets/d/1Yj_ptqi66GCucihVvJfMjLAmec39IyEx_6qawtMGysU/edit?usp=sharing"",""สบก!BL71"")"),0.0)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IFERROR(__xludf.DUMMYFUNCTION("IMPORTRANGE(""https://docs.google.com/spreadsheets/d/1SX6NBoVAgQJ6U1MVXOaj8PK2l7WJ3RER9xtqwdhxkhw/edit?usp=sharing"",""เพชรบุรี!I74"")"),4.0)</f>
        <v>4</v>
      </c>
      <c r="J149" s="309">
        <f>IFERROR(__xludf.DUMMYFUNCTION("IMPORTRANGE(""https://docs.google.com/spreadsheets/d/1SX6NBoVAgQJ6U1MVXOaj8PK2l7WJ3RER9xtqwdhxkhw/edit?usp=sharing"",""เพชรบุรี!J74"")"),1.0)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IFERROR(__xludf.DUMMYFUNCTION("IMPORTRANGE(""https://docs.google.com/spreadsheets/d/1SX6NBoVAgQJ6U1MVXOaj8PK2l7WJ3RER9xtqwdhxkhw/edit?usp=sharing"",""เพชรบุรี!J79"")"),0.0)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IFERROR(__xludf.DUMMYFUNCTION("IMPORTRANGE(""https://docs.google.com/spreadsheets/d/1SX6NBoVAgQJ6U1MVXOaj8PK2l7WJ3RER9xtqwdhxkhw/edit?usp=sharing"",""เพชรบุรี!J80"")"),1.0)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IFERROR(__xludf.DUMMYFUNCTION("IMPORTRANGE(""https://docs.google.com/spreadsheets/d/1SX6NBoVAgQJ6U1MVXOaj8PK2l7WJ3RER9xtqwdhxkhw/edit?usp=sharing"",""เพชรบุรี!J81"")"),1.0)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IFERROR(__xludf.DUMMYFUNCTION("IMPORTRANGE(""https://docs.google.com/spreadsheets/d/1SX6NBoVAgQJ6U1MVXOaj8PK2l7WJ3RER9xtqwdhxkhw/edit?usp=sharing"",""เพชรบุรี!J82"")"),1.0)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IFERROR(__xludf.DUMMYFUNCTION("IMPORTRANGE(""https://docs.google.com/spreadsheets/d/1SX6NBoVAgQJ6U1MVXOaj8PK2l7WJ3RER9xtqwdhxkhw/edit?usp=sharing"",""เพชรบุรี!I83"")"),4.0)</f>
        <v>4</v>
      </c>
      <c r="J158" s="223">
        <f>IFERROR(__xludf.DUMMYFUNCTION("IMPORTRANGE(""https://docs.google.com/spreadsheets/d/1SX6NBoVAgQJ6U1MVXOaj8PK2l7WJ3RER9xtqwdhxkhw/edit?usp=sharing"",""เพชรบุรี!J83"")"),1.0)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IFERROR(__xludf.DUMMYFUNCTION("IMPORTRANGE(""https://docs.google.com/spreadsheets/d/1SX6NBoVAgQJ6U1MVXOaj8PK2l7WJ3RER9xtqwdhxkhw/edit?usp=sharing"",""เพชรบุรี!J84"")"),50.0)</f>
        <v>50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IFERROR(__xludf.DUMMYFUNCTION("IMPORTRANGE(""https://docs.google.com/spreadsheets/d/1SX6NBoVAgQJ6U1MVXOaj8PK2l7WJ3RER9xtqwdhxkhw/edit?usp=sharing"",""เพชรบุรี!J85"")"),50.0)</f>
        <v>50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IFERROR(__xludf.DUMMYFUNCTION("IMPORTRANGE(""https://docs.google.com/spreadsheets/d/1SX6NBoVAgQJ6U1MVXOaj8PK2l7WJ3RER9xtqwdhxkhw/edit?usp=sharing"",""เพชรบุรี!J86"")"),0.0)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IFERROR(__xludf.DUMMYFUNCTION("IMPORTRANGE(""https://docs.google.com/spreadsheets/d/1SX6NBoVAgQJ6U1MVXOaj8PK2l7WJ3RER9xtqwdhxkhw/edit?usp=sharing"",""เพชรบุรี!J87"")"),0.0)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IFERROR(__xludf.DUMMYFUNCTION("IMPORTRANGE(""https://docs.google.com/spreadsheets/d/1SX6NBoVAgQJ6U1MVXOaj8PK2l7WJ3RER9xtqwdhxkhw/edit?usp=sharing"",""เพชรบุรี!J88"")"),0.0)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IFERROR(__xludf.DUMMYFUNCTION("IMPORTRANGE(""https://docs.google.com/spreadsheets/d/1SX6NBoVAgQJ6U1MVXOaj8PK2l7WJ3RER9xtqwdhxkhw/edit?usp=sharing"",""เพชรบุรี!I89"")"),2.0)</f>
        <v>2</v>
      </c>
      <c r="J164" s="317">
        <f>IFERROR(__xludf.DUMMYFUNCTION("IMPORTRANGE(""https://docs.google.com/spreadsheets/d/1SX6NBoVAgQJ6U1MVXOaj8PK2l7WJ3RER9xtqwdhxkhw/edit?usp=sharing"",""เพชรบุรี!J89"")"),2.0)</f>
        <v>2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IFERROR(__xludf.DUMMYFUNCTION("IMPORTRANGE(""https://docs.google.com/spreadsheets/d/1SX6NBoVAgQJ6U1MVXOaj8PK2l7WJ3RER9xtqwdhxkhw/edit?usp=sharing"",""เพชรบุรี!J94"")"),0.0)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IFERROR(__xludf.DUMMYFUNCTION("IMPORTRANGE(""https://docs.google.com/spreadsheets/d/1SX6NBoVAgQJ6U1MVXOaj8PK2l7WJ3RER9xtqwdhxkhw/edit?usp=sharing"",""เพชรบุรี!J95"")"),1.0)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IFERROR(__xludf.DUMMYFUNCTION("IMPORTRANGE(""https://docs.google.com/spreadsheets/d/1SX6NBoVAgQJ6U1MVXOaj8PK2l7WJ3RER9xtqwdhxkhw/edit?usp=sharing"",""เพชรบุรี!J96"")"),1.0)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IFERROR(__xludf.DUMMYFUNCTION("IMPORTRANGE(""https://docs.google.com/spreadsheets/d/1SX6NBoVAgQJ6U1MVXOaj8PK2l7WJ3RER9xtqwdhxkhw/edit?usp=sharing"",""เพชรบุรี!J97"")"),1.0)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IFERROR(__xludf.DUMMYFUNCTION("IMPORTRANGE(""https://docs.google.com/spreadsheets/d/1SX6NBoVAgQJ6U1MVXOaj8PK2l7WJ3RER9xtqwdhxkhw/edit?usp=sharing"",""เพชรบุรี!I98"")"),2.0)</f>
        <v>2</v>
      </c>
      <c r="J173" s="223">
        <f>IFERROR(__xludf.DUMMYFUNCTION("IMPORTRANGE(""https://docs.google.com/spreadsheets/d/1SX6NBoVAgQJ6U1MVXOaj8PK2l7WJ3RER9xtqwdhxkhw/edit?usp=sharing"",""เพชรบุรี!J98"")"),2.0)</f>
        <v>2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IFERROR(__xludf.DUMMYFUNCTION("IMPORTRANGE(""https://docs.google.com/spreadsheets/d/1SX6NBoVAgQJ6U1MVXOaj8PK2l7WJ3RER9xtqwdhxkhw/edit?usp=sharing"",""เพชรบุรี!J99"")"),0.0)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IFERROR(__xludf.DUMMYFUNCTION("IMPORTRANGE(""https://docs.google.com/spreadsheets/d/1SX6NBoVAgQJ6U1MVXOaj8PK2l7WJ3RER9xtqwdhxkhw/edit?usp=sharing"",""เพชรบุรี!J100"")"),0.0)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IFERROR(__xludf.DUMMYFUNCTION("IMPORTRANGE(""https://docs.google.com/spreadsheets/d/1SX6NBoVAgQJ6U1MVXOaj8PK2l7WJ3RER9xtqwdhxkhw/edit?usp=sharing"",""เพชรบุรี!I101"")"),0.0)</f>
        <v>0</v>
      </c>
      <c r="J176" s="317">
        <f>IFERROR(__xludf.DUMMYFUNCTION("IMPORTRANGE(""https://docs.google.com/spreadsheets/d/1SX6NBoVAgQJ6U1MVXOaj8PK2l7WJ3RER9xtqwdhxkhw/edit?usp=sharing"",""เพชรบุรี!J101"")"),0.0)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IFERROR(__xludf.DUMMYFUNCTION("IMPORTRANGE(""https://docs.google.com/spreadsheets/d/1SX6NBoVAgQJ6U1MVXOaj8PK2l7WJ3RER9xtqwdhxkhw/edit?usp=sharing"",""เพชรบุรี!J106"")"),0.0)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IFERROR(__xludf.DUMMYFUNCTION("IMPORTRANGE(""https://docs.google.com/spreadsheets/d/1SX6NBoVAgQJ6U1MVXOaj8PK2l7WJ3RER9xtqwdhxkhw/edit?usp=sharing"",""เพชรบุรี!J107"")"),0.0)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IFERROR(__xludf.DUMMYFUNCTION("IMPORTRANGE(""https://docs.google.com/spreadsheets/d/1SX6NBoVAgQJ6U1MVXOaj8PK2l7WJ3RER9xtqwdhxkhw/edit?usp=sharing"",""เพชรบุรี!J108"")"),0.0)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IFERROR(__xludf.DUMMYFUNCTION("IMPORTRANGE(""https://docs.google.com/spreadsheets/d/1SX6NBoVAgQJ6U1MVXOaj8PK2l7WJ3RER9xtqwdhxkhw/edit?usp=sharing"",""เพชรบุรี!J109"")"),0.0)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IFERROR(__xludf.DUMMYFUNCTION("IMPORTRANGE(""https://docs.google.com/spreadsheets/d/1SX6NBoVAgQJ6U1MVXOaj8PK2l7WJ3RER9xtqwdhxkhw/edit?usp=sharing"",""เพชรบุรี!I110"")"),0.0)</f>
        <v>0</v>
      </c>
      <c r="J185" s="238">
        <f>IFERROR(__xludf.DUMMYFUNCTION("IMPORTRANGE(""https://docs.google.com/spreadsheets/d/1SX6NBoVAgQJ6U1MVXOaj8PK2l7WJ3RER9xtqwdhxkhw/edit?usp=sharing"",""เพชรบุรี!J110"")"),0.0)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IFERROR(__xludf.DUMMYFUNCTION("IMPORTRANGE(""https://docs.google.com/spreadsheets/d/1SX6NBoVAgQJ6U1MVXOaj8PK2l7WJ3RER9xtqwdhxkhw/edit?usp=sharing"",""เพชรบุรี!I111"")"),0.0)</f>
        <v>0</v>
      </c>
      <c r="J186" s="238">
        <f>IFERROR(__xludf.DUMMYFUNCTION("IMPORTRANGE(""https://docs.google.com/spreadsheets/d/1SX6NBoVAgQJ6U1MVXOaj8PK2l7WJ3RER9xtqwdhxkhw/edit?usp=sharing"",""เพชรบุรี!J111"")"),0.0)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IFERROR(__xludf.DUMMYFUNCTION("IMPORTRANGE(""https://docs.google.com/spreadsheets/d/1SX6NBoVAgQJ6U1MVXOaj8PK2l7WJ3RER9xtqwdhxkhw/edit?usp=sharing"",""เพชรบุรี!J112"")"),0.0)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IFERROR(__xludf.DUMMYFUNCTION("IMPORTRANGE(""https://docs.google.com/spreadsheets/d/1SX6NBoVAgQJ6U1MVXOaj8PK2l7WJ3RER9xtqwdhxkhw/edit?usp=sharing"",""เพชรบุรี!J113"")"),0.0)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IFERROR(__xludf.DUMMYFUNCTION("IMPORTRANGE(""https://docs.google.com/spreadsheets/d/1SX6NBoVAgQJ6U1MVXOaj8PK2l7WJ3RER9xtqwdhxkhw/edit?usp=sharing"",""เพชรบุรี!I114"")"),30000.0)</f>
        <v>30000</v>
      </c>
      <c r="J189" s="317">
        <f>IFERROR(__xludf.DUMMYFUNCTION("IMPORTRANGE(""https://docs.google.com/spreadsheets/d/1SX6NBoVAgQJ6U1MVXOaj8PK2l7WJ3RER9xtqwdhxkhw/edit?usp=sharing"",""เพชรบุรี!J114"")"),0.0)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IFERROR(__xludf.DUMMYFUNCTION("IMPORTRANGE(""https://docs.google.com/spreadsheets/d/1SX6NBoVAgQJ6U1MVXOaj8PK2l7WJ3RER9xtqwdhxkhw/edit?usp=sharing"",""เพชรบุรี!J119"")"),0.0)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IFERROR(__xludf.DUMMYFUNCTION("IMPORTRANGE(""https://docs.google.com/spreadsheets/d/1SX6NBoVAgQJ6U1MVXOaj8PK2l7WJ3RER9xtqwdhxkhw/edit?usp=sharing"",""เพชรบุรี!J120"")"),1.0)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IFERROR(__xludf.DUMMYFUNCTION("IMPORTRANGE(""https://docs.google.com/spreadsheets/d/1SX6NBoVAgQJ6U1MVXOaj8PK2l7WJ3RER9xtqwdhxkhw/edit?usp=sharing"",""เพชรบุรี!J121"")"),0.0)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IFERROR(__xludf.DUMMYFUNCTION("IMPORTRANGE(""https://docs.google.com/spreadsheets/d/1SX6NBoVAgQJ6U1MVXOaj8PK2l7WJ3RER9xtqwdhxkhw/edit?usp=sharing"",""เพชรบุรี!J122"")"),0.0)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IFERROR(__xludf.DUMMYFUNCTION("IMPORTRANGE(""https://docs.google.com/spreadsheets/d/1SX6NBoVAgQJ6U1MVXOaj8PK2l7WJ3RER9xtqwdhxkhw/edit?usp=sharing"",""เพชรบุรี!I124"")"),30000.0)</f>
        <v>30000</v>
      </c>
      <c r="J199" s="223">
        <f>IFERROR(__xludf.DUMMYFUNCTION("IMPORTRANGE(""https://docs.google.com/spreadsheets/d/1SX6NBoVAgQJ6U1MVXOaj8PK2l7WJ3RER9xtqwdhxkhw/edit?usp=sharing"",""เพชรบุรี!J124"")"),0.0)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IFERROR(__xludf.DUMMYFUNCTION("IMPORTRANGE(""https://docs.google.com/spreadsheets/d/1SX6NBoVAgQJ6U1MVXOaj8PK2l7WJ3RER9xtqwdhxkhw/edit?usp=sharing"",""เพชรบุรี!I125"")"),30000.0)</f>
        <v>30000</v>
      </c>
      <c r="J200" s="223">
        <f>IFERROR(__xludf.DUMMYFUNCTION("IMPORTRANGE(""https://docs.google.com/spreadsheets/d/1SX6NBoVAgQJ6U1MVXOaj8PK2l7WJ3RER9xtqwdhxkhw/edit?usp=sharing"",""เพชรบุรี!J125"")"),0.0)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IFERROR(__xludf.DUMMYFUNCTION("IMPORTRANGE(""https://docs.google.com/spreadsheets/d/1SX6NBoVAgQJ6U1MVXOaj8PK2l7WJ3RER9xtqwdhxkhw/edit?usp=sharing"",""เพชรบุรี!I126"")"),0.0)</f>
        <v>0</v>
      </c>
      <c r="J201" s="223">
        <f>IFERROR(__xludf.DUMMYFUNCTION("IMPORTRANGE(""https://docs.google.com/spreadsheets/d/1SX6NBoVAgQJ6U1MVXOaj8PK2l7WJ3RER9xtqwdhxkhw/edit?usp=sharing"",""เพชรบุรี!J126"")"),0.0)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IFERROR(__xludf.DUMMYFUNCTION("IMPORTRANGE(""https://docs.google.com/spreadsheets/d/1SX6NBoVAgQJ6U1MVXOaj8PK2l7WJ3RER9xtqwdhxkhw/edit?usp=sharing"",""เพชรบุรี!J127"")"),0.0)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IFERROR(__xludf.DUMMYFUNCTION("IMPORTRANGE(""https://docs.google.com/spreadsheets/d/1SX6NBoVAgQJ6U1MVXOaj8PK2l7WJ3RER9xtqwdhxkhw/edit?usp=sharing"",""เพชรบุรี!J128"")"),0.0)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IFERROR(__xludf.DUMMYFUNCTION("IMPORTRANGE(""https://docs.google.com/spreadsheets/d/1SX6NBoVAgQJ6U1MVXOaj8PK2l7WJ3RER9xtqwdhxkhw/edit?usp=sharing"",""เพชรบุรี!I129"")"),0.0)</f>
        <v>0</v>
      </c>
      <c r="J204" s="317">
        <f>IFERROR(__xludf.DUMMYFUNCTION("IMPORTRANGE(""https://docs.google.com/spreadsheets/d/1SX6NBoVAgQJ6U1MVXOaj8PK2l7WJ3RER9xtqwdhxkhw/edit?usp=sharing"",""เพชรบุรี!J129"")"),0.0)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IFERROR(__xludf.DUMMYFUNCTION("IMPORTRANGE(""https://docs.google.com/spreadsheets/d/1SX6NBoVAgQJ6U1MVXOaj8PK2l7WJ3RER9xtqwdhxkhw/edit?usp=sharing"",""เพชรบุรี!J134"")"),0.0)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IFERROR(__xludf.DUMMYFUNCTION("IMPORTRANGE(""https://docs.google.com/spreadsheets/d/1SX6NBoVAgQJ6U1MVXOaj8PK2l7WJ3RER9xtqwdhxkhw/edit?usp=sharing"",""เพชรบุรี!J135"")"),0.0)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IFERROR(__xludf.DUMMYFUNCTION("IMPORTRANGE(""https://docs.google.com/spreadsheets/d/1SX6NBoVAgQJ6U1MVXOaj8PK2l7WJ3RER9xtqwdhxkhw/edit?usp=sharing"",""เพชรบุรี!J136"")"),0.0)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IFERROR(__xludf.DUMMYFUNCTION("IMPORTRANGE(""https://docs.google.com/spreadsheets/d/1SX6NBoVAgQJ6U1MVXOaj8PK2l7WJ3RER9xtqwdhxkhw/edit?usp=sharing"",""เพชรบุรี!J137"")"),0.0)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IFERROR(__xludf.DUMMYFUNCTION("IMPORTRANGE(""https://docs.google.com/spreadsheets/d/1SX6NBoVAgQJ6U1MVXOaj8PK2l7WJ3RER9xtqwdhxkhw/edit?usp=sharing"",""เพชรบุรี!I138"")"),0.0)</f>
        <v>0</v>
      </c>
      <c r="J213" s="238">
        <f>IFERROR(__xludf.DUMMYFUNCTION("IMPORTRANGE(""https://docs.google.com/spreadsheets/d/1SX6NBoVAgQJ6U1MVXOaj8PK2l7WJ3RER9xtqwdhxkhw/edit?usp=sharing"",""เพชรบุรี!J138"")"),0.0)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IFERROR(__xludf.DUMMYFUNCTION("IMPORTRANGE(""https://docs.google.com/spreadsheets/d/1SX6NBoVAgQJ6U1MVXOaj8PK2l7WJ3RER9xtqwdhxkhw/edit?usp=sharing"",""เพชรบุรี!I140"")"),0.0)</f>
        <v>0</v>
      </c>
      <c r="J215" s="238">
        <f>IFERROR(__xludf.DUMMYFUNCTION("IMPORTRANGE(""https://docs.google.com/spreadsheets/d/1SX6NBoVAgQJ6U1MVXOaj8PK2l7WJ3RER9xtqwdhxkhw/edit?usp=sharing"",""เพชรบุรี!J140"")"),0.0)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IFERROR(__xludf.DUMMYFUNCTION("IMPORTRANGE(""https://docs.google.com/spreadsheets/d/1SX6NBoVAgQJ6U1MVXOaj8PK2l7WJ3RER9xtqwdhxkhw/edit?usp=sharing"",""เพชรบุรี!I141"")"),0.0)</f>
        <v>0</v>
      </c>
      <c r="J216" s="238">
        <f>IFERROR(__xludf.DUMMYFUNCTION("IMPORTRANGE(""https://docs.google.com/spreadsheets/d/1SX6NBoVAgQJ6U1MVXOaj8PK2l7WJ3RER9xtqwdhxkhw/edit?usp=sharing"",""เพชรบุรี!J141"")"),0.0)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IFERROR(__xludf.DUMMYFUNCTION("IMPORTRANGE(""https://docs.google.com/spreadsheets/d/1SX6NBoVAgQJ6U1MVXOaj8PK2l7WJ3RER9xtqwdhxkhw/edit?usp=sharing"",""เพชรบุรี!J142"")"),0.0)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IFERROR(__xludf.DUMMYFUNCTION("IMPORTRANGE(""https://docs.google.com/spreadsheets/d/1SX6NBoVAgQJ6U1MVXOaj8PK2l7WJ3RER9xtqwdhxkhw/edit?usp=sharing"",""เพชรบุรี!J143"")"),0.0)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IFERROR(__xludf.DUMMYFUNCTION("IMPORTRANGE(""https://docs.google.com/spreadsheets/d/1SX6NBoVAgQJ6U1MVXOaj8PK2l7WJ3RER9xtqwdhxkhw/edit?usp=sharing"",""เพชรบุรี!I144"")"),15.0)</f>
        <v>15</v>
      </c>
      <c r="J219" s="301">
        <f>IFERROR(__xludf.DUMMYFUNCTION("IMPORTRANGE(""https://docs.google.com/spreadsheets/d/1SX6NBoVAgQJ6U1MVXOaj8PK2l7WJ3RER9xtqwdhxkhw/edit?usp=sharing"",""เพชรบุรี!J144"")"),15.0)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20145</v>
      </c>
      <c r="O220" s="182">
        <f t="shared" ref="O220:O222" si="75">IF(L220&gt;0,N220*100/L220,0)</f>
        <v>95.36094675</v>
      </c>
      <c r="P220" s="182">
        <f t="shared" ref="P220:P222" si="76">IF(M220&gt;0,N220*100/M220,0)</f>
        <v>95.36094675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20145</v>
      </c>
      <c r="O222" s="187">
        <f t="shared" si="75"/>
        <v>95.36094675</v>
      </c>
      <c r="P222" s="187">
        <f t="shared" si="76"/>
        <v>95.36094675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0">
        <f>IFERROR(__xludf.DUMMYFUNCTION("IMPORTRANGE(""https://docs.google.com/spreadsheets/d/1Yj_ptqi66GCucihVvJfMjLAmec39IyEx_6qawtMGysU/edit?usp=sharing"",""สบก!BS71"")"),21125.0)</f>
        <v>21125</v>
      </c>
      <c r="N224" s="203">
        <f>IFERROR(__xludf.DUMMYFUNCTION("IMPORTRANGE(""https://docs.google.com/spreadsheets/d/1Yj_ptqi66GCucihVvJfMjLAmec39IyEx_6qawtMGysU/edit?usp=sharing"",""สบก!BT71"")"),20145.0)</f>
        <v>20145</v>
      </c>
      <c r="O224" s="203">
        <f>IF(L224&gt;0,N224*100/L224,0)</f>
        <v>95.36094675</v>
      </c>
      <c r="P224" s="203">
        <f>IF(M224&gt;0,N224*100/M224,0)</f>
        <v>95.36094675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IFERROR(__xludf.DUMMYFUNCTION("IMPORTRANGE(""https://docs.google.com/spreadsheets/d/1Yj_ptqi66GCucihVvJfMjLAmec39IyEx_6qawtMGysU/edit?usp=sharing"",""สบก!BO71"")"),0.0)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IFERROR(__xludf.DUMMYFUNCTION("IMPORTRANGE(""https://docs.google.com/spreadsheets/d/1Yj_ptqi66GCucihVvJfMjLAmec39IyEx_6qawtMGysU/edit?usp=sharing"",""สบก!BP71"")"),21125.0)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IFERROR(__xludf.DUMMYFUNCTION("IMPORTRANGE(""https://docs.google.com/spreadsheets/d/1Yj_ptqi66GCucihVvJfMjLAmec39IyEx_6qawtMGysU/edit?usp=sharing"",""สบก!BQ71"")"),0.0)</f>
        <v>0</v>
      </c>
      <c r="M228" s="70"/>
      <c r="N228" s="70">
        <f>IFERROR(__xludf.DUMMYFUNCTION("IMPORTRANGE(""https://docs.google.com/spreadsheets/d/1Yj_ptqi66GCucihVvJfMjLAmec39IyEx_6qawtMGysU/edit?usp=sharing"",""สบก!BU71"")"),0.0)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IFERROR(__xludf.DUMMYFUNCTION("IMPORTRANGE(""https://docs.google.com/spreadsheets/d/1SX6NBoVAgQJ6U1MVXOaj8PK2l7WJ3RER9xtqwdhxkhw/edit?usp=sharing"",""เพชรบุรี!I149"")"),15.0)</f>
        <v>15</v>
      </c>
      <c r="J229" s="301">
        <f>IFERROR(__xludf.DUMMYFUNCTION("IMPORTRANGE(""https://docs.google.com/spreadsheets/d/1SX6NBoVAgQJ6U1MVXOaj8PK2l7WJ3RER9xtqwdhxkhw/edit?usp=sharing"",""เพชรบุรี!J149"")"),15.0)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IFERROR(__xludf.DUMMYFUNCTION("IMPORTRANGE(""https://docs.google.com/spreadsheets/d/1SX6NBoVAgQJ6U1MVXOaj8PK2l7WJ3RER9xtqwdhxkhw/edit?usp=sharing"",""เพชรบุรี!J151"")"),0.0)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IFERROR(__xludf.DUMMYFUNCTION("IMPORTRANGE(""https://docs.google.com/spreadsheets/d/1SX6NBoVAgQJ6U1MVXOaj8PK2l7WJ3RER9xtqwdhxkhw/edit?usp=sharing"",""เพชรบุรี!J152"")"),1.0)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IFERROR(__xludf.DUMMYFUNCTION("IMPORTRANGE(""https://docs.google.com/spreadsheets/d/1SX6NBoVAgQJ6U1MVXOaj8PK2l7WJ3RER9xtqwdhxkhw/edit?usp=sharing"",""เพชรบุรี!J153"")"),1.0)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IFERROR(__xludf.DUMMYFUNCTION("IMPORTRANGE(""https://docs.google.com/spreadsheets/d/1SX6NBoVAgQJ6U1MVXOaj8PK2l7WJ3RER9xtqwdhxkhw/edit?usp=sharing"",""เพชรบุรี!J154"")"),1.0)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IFERROR(__xludf.DUMMYFUNCTION("IMPORTRANGE(""https://docs.google.com/spreadsheets/d/1SX6NBoVAgQJ6U1MVXOaj8PK2l7WJ3RER9xtqwdhxkhw/edit?usp=sharing"",""เพชรบุรี!I155"")"),15.0)</f>
        <v>15</v>
      </c>
      <c r="J235" s="223">
        <f>IFERROR(__xludf.DUMMYFUNCTION("IMPORTRANGE(""https://docs.google.com/spreadsheets/d/1SX6NBoVAgQJ6U1MVXOaj8PK2l7WJ3RER9xtqwdhxkhw/edit?usp=sharing"",""เพชรบุรี!J155"")"),15.0)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IFERROR(__xludf.DUMMYFUNCTION("IMPORTRANGE(""https://docs.google.com/spreadsheets/d/1SX6NBoVAgQJ6U1MVXOaj8PK2l7WJ3RER9xtqwdhxkhw/edit?usp=sharing"",""เพชรบุรี!J156"")"),0.0)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IFERROR(__xludf.DUMMYFUNCTION("IMPORTRANGE(""https://docs.google.com/spreadsheets/d/1SX6NBoVAgQJ6U1MVXOaj8PK2l7WJ3RER9xtqwdhxkhw/edit?usp=sharing"",""เพชรบุรี!J157"")"),0.0)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IFERROR(__xludf.DUMMYFUNCTION("IMPORTRANGE(""https://docs.google.com/spreadsheets/d/1SX6NBoVAgQJ6U1MVXOaj8PK2l7WJ3RER9xtqwdhxkhw/edit?usp=sharing"",""เพชรบุรี!I158"")"),0.0)</f>
        <v>0</v>
      </c>
      <c r="J238" s="301">
        <f>IFERROR(__xludf.DUMMYFUNCTION("IMPORTRANGE(""https://docs.google.com/spreadsheets/d/1SX6NBoVAgQJ6U1MVXOaj8PK2l7WJ3RER9xtqwdhxkhw/edit?usp=sharing"",""เพชรบุรี!J158"")"),0.0)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IFERROR(__xludf.DUMMYFUNCTION("IMPORTRANGE(""https://docs.google.com/spreadsheets/d/1SX6NBoVAgQJ6U1MVXOaj8PK2l7WJ3RER9xtqwdhxkhw/edit?usp=sharing"",""เพชรบุรี!J159"")"),"")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IFERROR(__xludf.DUMMYFUNCTION("IMPORTRANGE(""https://docs.google.com/spreadsheets/d/1SX6NBoVAgQJ6U1MVXOaj8PK2l7WJ3RER9xtqwdhxkhw/edit?usp=sharing"",""เพชรบุรี!J161"")"),0.0)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IFERROR(__xludf.DUMMYFUNCTION("IMPORTRANGE(""https://docs.google.com/spreadsheets/d/1SX6NBoVAgQJ6U1MVXOaj8PK2l7WJ3RER9xtqwdhxkhw/edit?usp=sharing"",""เพชรบุรี!J162"")"),0.0)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IFERROR(__xludf.DUMMYFUNCTION("IMPORTRANGE(""https://docs.google.com/spreadsheets/d/1SX6NBoVAgQJ6U1MVXOaj8PK2l7WJ3RER9xtqwdhxkhw/edit?usp=sharing"",""เพชรบุรี!J163"")"),0.0)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IFERROR(__xludf.DUMMYFUNCTION("IMPORTRANGE(""https://docs.google.com/spreadsheets/d/1SX6NBoVAgQJ6U1MVXOaj8PK2l7WJ3RER9xtqwdhxkhw/edit?usp=sharing"",""เพชรบุรี!I164"")"),0.0)</f>
        <v>0</v>
      </c>
      <c r="J244" s="222">
        <f>IFERROR(__xludf.DUMMYFUNCTION("IMPORTRANGE(""https://docs.google.com/spreadsheets/d/1SX6NBoVAgQJ6U1MVXOaj8PK2l7WJ3RER9xtqwdhxkhw/edit?usp=sharing"",""เพชรบุรี!J164"")"),0.0)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IFERROR(__xludf.DUMMYFUNCTION("IMPORTRANGE(""https://docs.google.com/spreadsheets/d/1SX6NBoVAgQJ6U1MVXOaj8PK2l7WJ3RER9xtqwdhxkhw/edit?usp=sharing"",""เพชรบุรี!J165"")"),0.0)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IFERROR(__xludf.DUMMYFUNCTION("IMPORTRANGE(""https://docs.google.com/spreadsheets/d/1SX6NBoVAgQJ6U1MVXOaj8PK2l7WJ3RER9xtqwdhxkhw/edit?usp=sharing"",""เพชรบุรี!J166"")"),0.0)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IFERROR(__xludf.DUMMYFUNCTION("IMPORTRANGE(""https://docs.google.com/spreadsheets/d/1SX6NBoVAgQJ6U1MVXOaj8PK2l7WJ3RER9xtqwdhxkhw/edit?usp=sharing"",""เพชรบุรี!I169"")"),0.0)</f>
        <v>0</v>
      </c>
      <c r="J249" s="349">
        <f>IFERROR(__xludf.DUMMYFUNCTION("IMPORTRANGE(""https://docs.google.com/spreadsheets/d/1SX6NBoVAgQJ6U1MVXOaj8PK2l7WJ3RER9xtqwdhxkhw/edit?usp=sharing"",""เพชรบุรี!J169"")"),0.0)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IFERROR(__xludf.DUMMYFUNCTION("IMPORTRANGE(""https://docs.google.com/spreadsheets/d/1Yj_ptqi66GCucihVvJfMjLAmec39IyEx_6qawtMGysU/edit?usp=sharing"",""สบก!CB71"")"),0.0)</f>
        <v>0</v>
      </c>
      <c r="N254" s="203">
        <f>IFERROR(__xludf.DUMMYFUNCTION("IMPORTRANGE(""https://docs.google.com/spreadsheets/d/1Yj_ptqi66GCucihVvJfMjLAmec39IyEx_6qawtMGysU/edit?usp=sharing"",""สบก!CC71"")"),0.0)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IFERROR(__xludf.DUMMYFUNCTION("IMPORTRANGE(""https://docs.google.com/spreadsheets/d/1Yj_ptqi66GCucihVvJfMjLAmec39IyEx_6qawtMGysU/edit?usp=sharing"",""สบก!BX71"")"),0.0)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IFERROR(__xludf.DUMMYFUNCTION("IMPORTRANGE(""https://docs.google.com/spreadsheets/d/1Yj_ptqi66GCucihVvJfMjLAmec39IyEx_6qawtMGysU/edit?usp=sharing"",""สบก!BY71"")"),0.0)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IFERROR(__xludf.DUMMYFUNCTION("IMPORTRANGE(""https://docs.google.com/spreadsheets/d/1Yj_ptqi66GCucihVvJfMjLAmec39IyEx_6qawtMGysU/edit?usp=sharing"",""สบก!BZ71"")"),0.0)</f>
        <v>0</v>
      </c>
      <c r="M258" s="70"/>
      <c r="N258" s="70">
        <f>IFERROR(__xludf.DUMMYFUNCTION("IMPORTRANGE(""https://docs.google.com/spreadsheets/d/1Yj_ptqi66GCucihVvJfMjLAmec39IyEx_6qawtMGysU/edit?usp=sharing"",""สบก!CD71"")"),0.0)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IFERROR(__xludf.DUMMYFUNCTION("IMPORTRANGE(""https://docs.google.com/spreadsheets/d/1SX6NBoVAgQJ6U1MVXOaj8PK2l7WJ3RER9xtqwdhxkhw/edit?usp=sharing"",""เพชรบุรี!J175"")"),0.0)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IFERROR(__xludf.DUMMYFUNCTION("IMPORTRANGE(""https://docs.google.com/spreadsheets/d/1SX6NBoVAgQJ6U1MVXOaj8PK2l7WJ3RER9xtqwdhxkhw/edit?usp=sharing"",""เพชรบุรี!J176"")"),0.0)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IFERROR(__xludf.DUMMYFUNCTION("IMPORTRANGE(""https://docs.google.com/spreadsheets/d/1SX6NBoVAgQJ6U1MVXOaj8PK2l7WJ3RER9xtqwdhxkhw/edit?usp=sharing"",""เพชรบุรี!J177"")"),0.0)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IFERROR(__xludf.DUMMYFUNCTION("IMPORTRANGE(""https://docs.google.com/spreadsheets/d/1SX6NBoVAgQJ6U1MVXOaj8PK2l7WJ3RER9xtqwdhxkhw/edit?usp=sharing"",""เพชรบุรี!J178"")"),0.0)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IFERROR(__xludf.DUMMYFUNCTION("IMPORTRANGE(""https://docs.google.com/spreadsheets/d/1SX6NBoVAgQJ6U1MVXOaj8PK2l7WJ3RER9xtqwdhxkhw/edit?usp=sharing"",""เพชรบุรี!I179"")"),0.0)</f>
        <v>0</v>
      </c>
      <c r="J264" s="223">
        <f>IFERROR(__xludf.DUMMYFUNCTION("IMPORTRANGE(""https://docs.google.com/spreadsheets/d/1SX6NBoVAgQJ6U1MVXOaj8PK2l7WJ3RER9xtqwdhxkhw/edit?usp=sharing"",""เพชรบุรี!J179"")"),0.0)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IFERROR(__xludf.DUMMYFUNCTION("IMPORTRANGE(""https://docs.google.com/spreadsheets/d/1SX6NBoVAgQJ6U1MVXOaj8PK2l7WJ3RER9xtqwdhxkhw/edit?usp=sharing"",""เพชรบุรี!I180"")"),0.0)</f>
        <v>0</v>
      </c>
      <c r="J265" s="223">
        <f>IFERROR(__xludf.DUMMYFUNCTION("IMPORTRANGE(""https://docs.google.com/spreadsheets/d/1SX6NBoVAgQJ6U1MVXOaj8PK2l7WJ3RER9xtqwdhxkhw/edit?usp=sharing"",""เพชรบุรี!J180"")"),0.0)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IFERROR(__xludf.DUMMYFUNCTION("IMPORTRANGE(""https://docs.google.com/spreadsheets/d/1SX6NBoVAgQJ6U1MVXOaj8PK2l7WJ3RER9xtqwdhxkhw/edit?usp=sharing"",""เพชรบุรี!I181"")"),0.0)</f>
        <v>0</v>
      </c>
      <c r="J266" s="223">
        <f>IFERROR(__xludf.DUMMYFUNCTION("IMPORTRANGE(""https://docs.google.com/spreadsheets/d/1SX6NBoVAgQJ6U1MVXOaj8PK2l7WJ3RER9xtqwdhxkhw/edit?usp=sharing"",""เพชรบุรี!J181"")"),0.0)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IFERROR(__xludf.DUMMYFUNCTION("IMPORTRANGE(""https://docs.google.com/spreadsheets/d/1SX6NBoVAgQJ6U1MVXOaj8PK2l7WJ3RER9xtqwdhxkhw/edit?usp=sharing"",""เพชรบุรี!I182"")"),0.0)</f>
        <v>0</v>
      </c>
      <c r="J267" s="223">
        <f>IFERROR(__xludf.DUMMYFUNCTION("IMPORTRANGE(""https://docs.google.com/spreadsheets/d/1SX6NBoVAgQJ6U1MVXOaj8PK2l7WJ3RER9xtqwdhxkhw/edit?usp=sharing"",""เพชรบุรี!J182"")"),0.0)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IFERROR(__xludf.DUMMYFUNCTION("IMPORTRANGE(""https://docs.google.com/spreadsheets/d/1SX6NBoVAgQJ6U1MVXOaj8PK2l7WJ3RER9xtqwdhxkhw/edit?usp=sharing"",""เพชรบุรี!J183"")"),0.0)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IFERROR(__xludf.DUMMYFUNCTION("IMPORTRANGE(""https://docs.google.com/spreadsheets/d/1SX6NBoVAgQJ6U1MVXOaj8PK2l7WJ3RER9xtqwdhxkhw/edit?usp=sharing"",""เพชรบุรี!J184"")"),0.0)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IFERROR(__xludf.DUMMYFUNCTION("IMPORTRANGE(""https://docs.google.com/spreadsheets/d/1SX6NBoVAgQJ6U1MVXOaj8PK2l7WJ3RER9xtqwdhxkhw/edit?usp=sharing"",""เพชรบุรี!I185"")"),0.0)</f>
        <v>0</v>
      </c>
      <c r="J270" s="349">
        <f>IFERROR(__xludf.DUMMYFUNCTION("IMPORTRANGE(""https://docs.google.com/spreadsheets/d/1SX6NBoVAgQJ6U1MVXOaj8PK2l7WJ3RER9xtqwdhxkhw/edit?usp=sharing"",""เพชรบุรี!J185"")"),0.0)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0">
        <f>IFERROR(__xludf.DUMMYFUNCTION("IMPORTRANGE(""https://docs.google.com/spreadsheets/d/1Yj_ptqi66GCucihVvJfMjLAmec39IyEx_6qawtMGysU/edit?usp=sharing"",""สบก!CK71"")"),0.0)</f>
        <v>0</v>
      </c>
      <c r="N275" s="203">
        <f>IFERROR(__xludf.DUMMYFUNCTION("IMPORTRANGE(""https://docs.google.com/spreadsheets/d/1Yj_ptqi66GCucihVvJfMjLAmec39IyEx_6qawtMGysU/edit?usp=sharing"",""สบก!CL71"")"),0.0)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IFERROR(__xludf.DUMMYFUNCTION("IMPORTRANGE(""https://docs.google.com/spreadsheets/d/1Yj_ptqi66GCucihVvJfMjLAmec39IyEx_6qawtMGysU/edit?usp=sharing"",""สบก!CG71"")"),0.0)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IFERROR(__xludf.DUMMYFUNCTION("IMPORTRANGE(""https://docs.google.com/spreadsheets/d/1Yj_ptqi66GCucihVvJfMjLAmec39IyEx_6qawtMGysU/edit?usp=sharing"",""สบก!CH71"")"),0.0)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IFERROR(__xludf.DUMMYFUNCTION("IMPORTRANGE(""https://docs.google.com/spreadsheets/d/1Yj_ptqi66GCucihVvJfMjLAmec39IyEx_6qawtMGysU/edit?usp=sharing"",""สบก!CI71"")"),0.0)</f>
        <v>0</v>
      </c>
      <c r="M279" s="70"/>
      <c r="N279" s="70">
        <f>IFERROR(__xludf.DUMMYFUNCTION("IMPORTRANGE(""https://docs.google.com/spreadsheets/d/1Yj_ptqi66GCucihVvJfMjLAmec39IyEx_6qawtMGysU/edit?usp=sharing"",""สบก!CM71"")"),0.0)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IFERROR(__xludf.DUMMYFUNCTION("IMPORTRANGE(""https://docs.google.com/spreadsheets/d/1SX6NBoVAgQJ6U1MVXOaj8PK2l7WJ3RER9xtqwdhxkhw/edit?usp=sharing"",""เพชรบุรี!J191"")"),0.0)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IFERROR(__xludf.DUMMYFUNCTION("IMPORTRANGE(""https://docs.google.com/spreadsheets/d/1SX6NBoVAgQJ6U1MVXOaj8PK2l7WJ3RER9xtqwdhxkhw/edit?usp=sharing"",""เพชรบุรี!J192"")"),0.0)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IFERROR(__xludf.DUMMYFUNCTION("IMPORTRANGE(""https://docs.google.com/spreadsheets/d/1SX6NBoVAgQJ6U1MVXOaj8PK2l7WJ3RER9xtqwdhxkhw/edit?usp=sharing"",""เพชรบุรี!J193"")"),0.0)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IFERROR(__xludf.DUMMYFUNCTION("IMPORTRANGE(""https://docs.google.com/spreadsheets/d/1SX6NBoVAgQJ6U1MVXOaj8PK2l7WJ3RER9xtqwdhxkhw/edit?usp=sharing"",""เพชรบุรี!J194"")"),0.0)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IFERROR(__xludf.DUMMYFUNCTION("IMPORTRANGE(""https://docs.google.com/spreadsheets/d/1SX6NBoVAgQJ6U1MVXOaj8PK2l7WJ3RER9xtqwdhxkhw/edit?usp=sharing"",""เพชรบุรี!I195"")"),0.0)</f>
        <v>0</v>
      </c>
      <c r="J285" s="223">
        <f>IFERROR(__xludf.DUMMYFUNCTION("IMPORTRANGE(""https://docs.google.com/spreadsheets/d/1SX6NBoVAgQJ6U1MVXOaj8PK2l7WJ3RER9xtqwdhxkhw/edit?usp=sharing"",""เพชรบุรี!J195"")"),0.0)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IFERROR(__xludf.DUMMYFUNCTION("IMPORTRANGE(""https://docs.google.com/spreadsheets/d/1SX6NBoVAgQJ6U1MVXOaj8PK2l7WJ3RER9xtqwdhxkhw/edit?usp=sharing"",""เพชรบุรี!J196"")"),0.0)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IFERROR(__xludf.DUMMYFUNCTION("IMPORTRANGE(""https://docs.google.com/spreadsheets/d/1SX6NBoVAgQJ6U1MVXOaj8PK2l7WJ3RER9xtqwdhxkhw/edit?usp=sharing"",""เพชรบุรี!J197"")"),0.0)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IFERROR(__xludf.DUMMYFUNCTION("IMPORTRANGE(""https://docs.google.com/spreadsheets/d/1SX6NBoVAgQJ6U1MVXOaj8PK2l7WJ3RER9xtqwdhxkhw/edit?usp=sharing"",""เพชรบุรี!I199"")"),0.0)</f>
        <v>0</v>
      </c>
      <c r="J289" s="349">
        <f>IFERROR(__xludf.DUMMYFUNCTION("IMPORTRANGE(""https://docs.google.com/spreadsheets/d/1SX6NBoVAgQJ6U1MVXOaj8PK2l7WJ3RER9xtqwdhxkhw/edit?usp=sharing"",""เพชรบุรี!J199"")"),0.0)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IFERROR(__xludf.DUMMYFUNCTION("IMPORTRANGE(""https://docs.google.com/spreadsheets/d/1Yj_ptqi66GCucihVvJfMjLAmec39IyEx_6qawtMGysU/edit?usp=sharing"",""สบก!CT71"")"),0.0)</f>
        <v>0</v>
      </c>
      <c r="N294" s="203">
        <f>IFERROR(__xludf.DUMMYFUNCTION("IMPORTRANGE(""https://docs.google.com/spreadsheets/d/1Yj_ptqi66GCucihVvJfMjLAmec39IyEx_6qawtMGysU/edit?usp=sharing"",""สบก!CU71"")"),0.0)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IFERROR(__xludf.DUMMYFUNCTION("IMPORTRANGE(""https://docs.google.com/spreadsheets/d/1Yj_ptqi66GCucihVvJfMjLAmec39IyEx_6qawtMGysU/edit?usp=sharing"",""สบก!CP71"")"),0.0)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IFERROR(__xludf.DUMMYFUNCTION("IMPORTRANGE(""https://docs.google.com/spreadsheets/d/1Yj_ptqi66GCucihVvJfMjLAmec39IyEx_6qawtMGysU/edit?usp=sharing"",""สบก!CQ71"")"),0.0)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IFERROR(__xludf.DUMMYFUNCTION("IMPORTRANGE(""https://docs.google.com/spreadsheets/d/1Yj_ptqi66GCucihVvJfMjLAmec39IyEx_6qawtMGysU/edit?usp=sharing"",""สบก!CR71"")"),0.0)</f>
        <v>0</v>
      </c>
      <c r="M298" s="70"/>
      <c r="N298" s="70">
        <f>IFERROR(__xludf.DUMMYFUNCTION("IMPORTRANGE(""https://docs.google.com/spreadsheets/d/1Yj_ptqi66GCucihVvJfMjLAmec39IyEx_6qawtMGysU/edit?usp=sharing"",""สบก!CV71"")"),0.0)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IFERROR(__xludf.DUMMYFUNCTION("IMPORTRANGE(""https://docs.google.com/spreadsheets/d/1SX6NBoVAgQJ6U1MVXOaj8PK2l7WJ3RER9xtqwdhxkhw/edit?usp=sharing"",""เพชรบุรี!J205"")"),0.0)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IFERROR(__xludf.DUMMYFUNCTION("IMPORTRANGE(""https://docs.google.com/spreadsheets/d/1SX6NBoVAgQJ6U1MVXOaj8PK2l7WJ3RER9xtqwdhxkhw/edit?usp=sharing"",""เพชรบุรี!J206"")"),0.0)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IFERROR(__xludf.DUMMYFUNCTION("IMPORTRANGE(""https://docs.google.com/spreadsheets/d/1SX6NBoVAgQJ6U1MVXOaj8PK2l7WJ3RER9xtqwdhxkhw/edit?usp=sharing"",""เพชรบุรี!J207"")"),0.0)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IFERROR(__xludf.DUMMYFUNCTION("IMPORTRANGE(""https://docs.google.com/spreadsheets/d/1SX6NBoVAgQJ6U1MVXOaj8PK2l7WJ3RER9xtqwdhxkhw/edit?usp=sharing"",""เพชรบุรี!J208"")"),0.0)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IFERROR(__xludf.DUMMYFUNCTION("IMPORTRANGE(""https://docs.google.com/spreadsheets/d/1SX6NBoVAgQJ6U1MVXOaj8PK2l7WJ3RER9xtqwdhxkhw/edit?usp=sharing"",""เพชรบุรี!I209"")"),0.0)</f>
        <v>0</v>
      </c>
      <c r="J304" s="238">
        <f>IFERROR(__xludf.DUMMYFUNCTION("IMPORTRANGE(""https://docs.google.com/spreadsheets/d/1SX6NBoVAgQJ6U1MVXOaj8PK2l7WJ3RER9xtqwdhxkhw/edit?usp=sharing"",""เพชรบุรี!J209"")"),0.0)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IFERROR(__xludf.DUMMYFUNCTION("IMPORTRANGE(""https://docs.google.com/spreadsheets/d/1SX6NBoVAgQJ6U1MVXOaj8PK2l7WJ3RER9xtqwdhxkhw/edit?usp=sharing"",""เพชรบุรี!I211"")"),0.0)</f>
        <v>0</v>
      </c>
      <c r="J306" s="238">
        <f>IFERROR(__xludf.DUMMYFUNCTION("IMPORTRANGE(""https://docs.google.com/spreadsheets/d/1SX6NBoVAgQJ6U1MVXOaj8PK2l7WJ3RER9xtqwdhxkhw/edit?usp=sharing"",""เพชรบุรี!J211"")"),0.0)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IFERROR(__xludf.DUMMYFUNCTION("IMPORTRANGE(""https://docs.google.com/spreadsheets/d/1SX6NBoVAgQJ6U1MVXOaj8PK2l7WJ3RER9xtqwdhxkhw/edit?usp=sharing"",""เพชรบุรี!J212"")"),0.0)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IFERROR(__xludf.DUMMYFUNCTION("IMPORTRANGE(""https://docs.google.com/spreadsheets/d/1SX6NBoVAgQJ6U1MVXOaj8PK2l7WJ3RER9xtqwdhxkhw/edit?usp=sharing"",""เพชรบุรี!J213"")"),0.0)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IFERROR(__xludf.DUMMYFUNCTION("IMPORTRANGE(""https://docs.google.com/spreadsheets/d/1SX6NBoVAgQJ6U1MVXOaj8PK2l7WJ3RER9xtqwdhxkhw/edit?usp=sharing"",""เพชรบุรี!I214"")"),0.0)</f>
        <v>0</v>
      </c>
      <c r="J309" s="366">
        <f>IFERROR(__xludf.DUMMYFUNCTION("IMPORTRANGE(""https://docs.google.com/spreadsheets/d/1SX6NBoVAgQJ6U1MVXOaj8PK2l7WJ3RER9xtqwdhxkhw/edit?usp=sharing"",""เพชรบุรี!J214"")"),0.0)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IFERROR(__xludf.DUMMYFUNCTION("IMPORTRANGE(""https://docs.google.com/spreadsheets/d/1Yj_ptqi66GCucihVvJfMjLAmec39IyEx_6qawtMGysU/edit?usp=sharing"",""สบก!DC71"")"),0.0)</f>
        <v>0</v>
      </c>
      <c r="N314" s="203">
        <f>IFERROR(__xludf.DUMMYFUNCTION("IMPORTRANGE(""https://docs.google.com/spreadsheets/d/1Yj_ptqi66GCucihVvJfMjLAmec39IyEx_6qawtMGysU/edit?usp=sharing"",""สบก!DD71"")"),0.0)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IFERROR(__xludf.DUMMYFUNCTION("IMPORTRANGE(""https://docs.google.com/spreadsheets/d/1Yj_ptqi66GCucihVvJfMjLAmec39IyEx_6qawtMGysU/edit?usp=sharing"",""สบก!CY71"")"),0.0)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IFERROR(__xludf.DUMMYFUNCTION("IMPORTRANGE(""https://docs.google.com/spreadsheets/d/1Yj_ptqi66GCucihVvJfMjLAmec39IyEx_6qawtMGysU/edit?usp=sharing"",""สบก!CZ71"")"),0.0)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IFERROR(__xludf.DUMMYFUNCTION("IMPORTRANGE(""https://docs.google.com/spreadsheets/d/1Yj_ptqi66GCucihVvJfMjLAmec39IyEx_6qawtMGysU/edit?usp=sharing"",""สบก!DA71"")"),0.0)</f>
        <v>0</v>
      </c>
      <c r="M318" s="70"/>
      <c r="N318" s="70">
        <f>IFERROR(__xludf.DUMMYFUNCTION("IMPORTRANGE(""https://docs.google.com/spreadsheets/d/1Yj_ptqi66GCucihVvJfMjLAmec39IyEx_6qawtMGysU/edit?usp=sharing"",""สบก!DE71"")"),0.0)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IFERROR(__xludf.DUMMYFUNCTION("IMPORTRANGE(""https://docs.google.com/spreadsheets/d/1SX6NBoVAgQJ6U1MVXOaj8PK2l7WJ3RER9xtqwdhxkhw/edit?usp=sharing"",""เพชรบุรี!J220"")"),0.0)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IFERROR(__xludf.DUMMYFUNCTION("IMPORTRANGE(""https://docs.google.com/spreadsheets/d/1SX6NBoVAgQJ6U1MVXOaj8PK2l7WJ3RER9xtqwdhxkhw/edit?usp=sharing"",""เพชรบุรี!J221"")"),0.0)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IFERROR(__xludf.DUMMYFUNCTION("IMPORTRANGE(""https://docs.google.com/spreadsheets/d/1SX6NBoVAgQJ6U1MVXOaj8PK2l7WJ3RER9xtqwdhxkhw/edit?usp=sharing"",""เพชรบุรี!J222"")"),0.0)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IFERROR(__xludf.DUMMYFUNCTION("IMPORTRANGE(""https://docs.google.com/spreadsheets/d/1SX6NBoVAgQJ6U1MVXOaj8PK2l7WJ3RER9xtqwdhxkhw/edit?usp=sharing"",""เพชรบุรี!J223"")"),0.0)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IFERROR(__xludf.DUMMYFUNCTION("IMPORTRANGE(""https://docs.google.com/spreadsheets/d/1SX6NBoVAgQJ6U1MVXOaj8PK2l7WJ3RER9xtqwdhxkhw/edit?usp=sharing"",""เพชรบุรี!I224"")"),0.0)</f>
        <v>0</v>
      </c>
      <c r="J324" s="238">
        <f>IFERROR(__xludf.DUMMYFUNCTION("IMPORTRANGE(""https://docs.google.com/spreadsheets/d/1SX6NBoVAgQJ6U1MVXOaj8PK2l7WJ3RER9xtqwdhxkhw/edit?usp=sharing"",""เพชรบุรี!J224"")"),0.0)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IFERROR(__xludf.DUMMYFUNCTION("IMPORTRANGE(""https://docs.google.com/spreadsheets/d/1SX6NBoVAgQJ6U1MVXOaj8PK2l7WJ3RER9xtqwdhxkhw/edit?usp=sharing"",""เพชรบุรี!J225"")"),0.0)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IFERROR(__xludf.DUMMYFUNCTION("IMPORTRANGE(""https://docs.google.com/spreadsheets/d/1SX6NBoVAgQJ6U1MVXOaj8PK2l7WJ3RER9xtqwdhxkhw/edit?usp=sharing"",""เพชรบุรี!J226"")"),0.0)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IFERROR(__xludf.DUMMYFUNCTION("IMPORTRANGE(""https://docs.google.com/spreadsheets/d/1SX6NBoVAgQJ6U1MVXOaj8PK2l7WJ3RER9xtqwdhxkhw/edit?usp=sharing"",""เพชรบุรี!I228"")"),33.0)</f>
        <v>33</v>
      </c>
      <c r="J328" s="372">
        <f>IFERROR(__xludf.DUMMYFUNCTION("IMPORTRANGE(""https://docs.google.com/spreadsheets/d/1SX6NBoVAgQJ6U1MVXOaj8PK2l7WJ3RER9xtqwdhxkhw/edit?usp=sharing"",""เพชรบุรี!J228"")"),1.0)</f>
        <v>1</v>
      </c>
      <c r="K328" s="350">
        <f>IF(I328&gt;0,J328*100/I328,0)</f>
        <v>3.03030303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701880</v>
      </c>
      <c r="M329" s="183">
        <f t="shared" si="99"/>
        <v>354120</v>
      </c>
      <c r="N329" s="183">
        <f t="shared" si="99"/>
        <v>295472</v>
      </c>
      <c r="O329" s="182">
        <f t="shared" ref="O329:O331" si="101">IF(L329&gt;0,N329*100/L329,0)</f>
        <v>42.0972246</v>
      </c>
      <c r="P329" s="182">
        <f t="shared" ref="P329:P331" si="102">IF(M329&gt;0,N329*100/M329,0)</f>
        <v>83.43838247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701880</v>
      </c>
      <c r="M331" s="188">
        <f t="shared" si="103"/>
        <v>354120</v>
      </c>
      <c r="N331" s="188">
        <f t="shared" si="103"/>
        <v>295472</v>
      </c>
      <c r="O331" s="187">
        <f t="shared" si="101"/>
        <v>42.0972246</v>
      </c>
      <c r="P331" s="187">
        <f t="shared" si="102"/>
        <v>83.43838247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701880</v>
      </c>
      <c r="M333" s="200">
        <f>IFERROR(__xludf.DUMMYFUNCTION("IMPORTRANGE(""https://docs.google.com/spreadsheets/d/1Yj_ptqi66GCucihVvJfMjLAmec39IyEx_6qawtMGysU/edit?usp=sharing"",""สบก!DL71"")"),354120.0)</f>
        <v>354120</v>
      </c>
      <c r="N333" s="203">
        <f>IFERROR(__xludf.DUMMYFUNCTION("IMPORTRANGE(""https://docs.google.com/spreadsheets/d/1Yj_ptqi66GCucihVvJfMjLAmec39IyEx_6qawtMGysU/edit?usp=sharing"",""สบก!DM71"")"),295472.0)</f>
        <v>295472</v>
      </c>
      <c r="O333" s="203">
        <f>IF(L333&gt;0,N333*100/L333,0)</f>
        <v>42.0972246</v>
      </c>
      <c r="P333" s="203">
        <f>IF(M333&gt;0,N333*100/M333,0)</f>
        <v>83.43838247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IFERROR(__xludf.DUMMYFUNCTION("IMPORTRANGE(""https://docs.google.com/spreadsheets/d/1Yj_ptqi66GCucihVvJfMjLAmec39IyEx_6qawtMGysU/edit?usp=sharing"",""สบก!DH71"")"),493800.0)</f>
        <v>493800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IFERROR(__xludf.DUMMYFUNCTION("IMPORTRANGE(""https://docs.google.com/spreadsheets/d/1Yj_ptqi66GCucihVvJfMjLAmec39IyEx_6qawtMGysU/edit?usp=sharing"",""สบก!DI71"")"),208080.0)</f>
        <v>208080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IFERROR(__xludf.DUMMYFUNCTION("IMPORTRANGE(""https://docs.google.com/spreadsheets/d/1Yj_ptqi66GCucihVvJfMjLAmec39IyEx_6qawtMGysU/edit?usp=sharing"",""สบก!DJ71"")"),0.0)</f>
        <v>0</v>
      </c>
      <c r="M337" s="70"/>
      <c r="N337" s="70">
        <f>IFERROR(__xludf.DUMMYFUNCTION("IMPORTRANGE(""https://docs.google.com/spreadsheets/d/1Yj_ptqi66GCucihVvJfMjLAmec39IyEx_6qawtMGysU/edit?usp=sharing"",""สบก!DN71"")"),0.0)</f>
        <v>0</v>
      </c>
      <c r="O337" s="70">
        <f>IF(L337&gt;0,N337*100/L337,0)</f>
        <v>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IFERROR(__xludf.DUMMYFUNCTION("IMPORTRANGE(""https://docs.google.com/spreadsheets/d/1SX6NBoVAgQJ6U1MVXOaj8PK2l7WJ3RER9xtqwdhxkhw/edit?usp=sharing"",""เพชรบุรี!I234"")"),0.0)</f>
        <v>0</v>
      </c>
      <c r="J339" s="222">
        <f>IFERROR(__xludf.DUMMYFUNCTION("IMPORTRANGE(""https://docs.google.com/spreadsheets/d/1SX6NBoVAgQJ6U1MVXOaj8PK2l7WJ3RER9xtqwdhxkhw/edit?usp=sharing"",""เพชรบุรี!J234"")"),0.0)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IFERROR(__xludf.DUMMYFUNCTION("IMPORTRANGE(""https://docs.google.com/spreadsheets/d/1SX6NBoVAgQJ6U1MVXOaj8PK2l7WJ3RER9xtqwdhxkhw/edit?usp=sharing"",""เพชรบุรี!I235"")"),180.0)</f>
        <v>180</v>
      </c>
      <c r="J340" s="222">
        <f>IFERROR(__xludf.DUMMYFUNCTION("IMPORTRANGE(""https://docs.google.com/spreadsheets/d/1SX6NBoVAgQJ6U1MVXOaj8PK2l7WJ3RER9xtqwdhxkhw/edit?usp=sharing"",""เพชรบุรี!J235"")"),0.0)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IFERROR(__xludf.DUMMYFUNCTION("IMPORTRANGE(""https://docs.google.com/spreadsheets/d/1SX6NBoVAgQJ6U1MVXOaj8PK2l7WJ3RER9xtqwdhxkhw/edit?usp=sharing"",""เพชรบุรี!I236"")"),33.0)</f>
        <v>33</v>
      </c>
      <c r="J341" s="222">
        <f>IFERROR(__xludf.DUMMYFUNCTION("IMPORTRANGE(""https://docs.google.com/spreadsheets/d/1SX6NBoVAgQJ6U1MVXOaj8PK2l7WJ3RER9xtqwdhxkhw/edit?usp=sharing"",""เพชรบุรี!J236"")"),5.0)</f>
        <v>5</v>
      </c>
      <c r="K341" s="375">
        <f t="shared" si="104"/>
        <v>15.15151515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IFERROR(__xludf.DUMMYFUNCTION("IMPORTRANGE(""https://docs.google.com/spreadsheets/d/1SX6NBoVAgQJ6U1MVXOaj8PK2l7WJ3RER9xtqwdhxkhw/edit?usp=sharing"",""เพชรบุรี!I237"")"),0.0)</f>
        <v>0</v>
      </c>
      <c r="J342" s="222">
        <f>IFERROR(__xludf.DUMMYFUNCTION("IMPORTRANGE(""https://docs.google.com/spreadsheets/d/1SX6NBoVAgQJ6U1MVXOaj8PK2l7WJ3RER9xtqwdhxkhw/edit?usp=sharing"",""เพชรบุรี!J237"")"),48.1)</f>
        <v>48.1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IFERROR(__xludf.DUMMYFUNCTION("IMPORTRANGE(""https://docs.google.com/spreadsheets/d/1SX6NBoVAgQJ6U1MVXOaj8PK2l7WJ3RER9xtqwdhxkhw/edit?usp=sharing"",""เพชรบุรี!I238"")"),33.0)</f>
        <v>33</v>
      </c>
      <c r="J343" s="222">
        <f>IFERROR(__xludf.DUMMYFUNCTION("IMPORTRANGE(""https://docs.google.com/spreadsheets/d/1SX6NBoVAgQJ6U1MVXOaj8PK2l7WJ3RER9xtqwdhxkhw/edit?usp=sharing"",""เพชรบุรี!J238"")"),0.0)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IFERROR(__xludf.DUMMYFUNCTION("IMPORTRANGE(""https://docs.google.com/spreadsheets/d/1SX6NBoVAgQJ6U1MVXOaj8PK2l7WJ3RER9xtqwdhxkhw/edit?usp=sharing"",""เพชรบุรี!I239"")"),0.0)</f>
        <v>0</v>
      </c>
      <c r="J344" s="222">
        <f>IFERROR(__xludf.DUMMYFUNCTION("IMPORTRANGE(""https://docs.google.com/spreadsheets/d/1SX6NBoVAgQJ6U1MVXOaj8PK2l7WJ3RER9xtqwdhxkhw/edit?usp=sharing"",""เพชรบุรี!J239"")"),0.0)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IFERROR(__xludf.DUMMYFUNCTION("IMPORTRANGE(""https://docs.google.com/spreadsheets/d/1SX6NBoVAgQJ6U1MVXOaj8PK2l7WJ3RER9xtqwdhxkhw/edit?usp=sharing"",""เพชรบุรี!I240"")"),33.0)</f>
        <v>33</v>
      </c>
      <c r="J345" s="222">
        <f>IFERROR(__xludf.DUMMYFUNCTION("IMPORTRANGE(""https://docs.google.com/spreadsheets/d/1SX6NBoVAgQJ6U1MVXOaj8PK2l7WJ3RER9xtqwdhxkhw/edit?usp=sharing"",""เพชรบุรี!J240"")"),1.0)</f>
        <v>1</v>
      </c>
      <c r="K345" s="375">
        <f t="shared" si="104"/>
        <v>3.03030303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IFERROR(__xludf.DUMMYFUNCTION("IMPORTRANGE(""https://docs.google.com/spreadsheets/d/1SX6NBoVAgQJ6U1MVXOaj8PK2l7WJ3RER9xtqwdhxkhw/edit?usp=sharing"",""เพชรบุรี!I241"")"),0.0)</f>
        <v>0</v>
      </c>
      <c r="J346" s="222">
        <f>IFERROR(__xludf.DUMMYFUNCTION("IMPORTRANGE(""https://docs.google.com/spreadsheets/d/1SX6NBoVAgQJ6U1MVXOaj8PK2l7WJ3RER9xtqwdhxkhw/edit?usp=sharing"",""เพชรบุรี!J241"")"),6.71)</f>
        <v>6.71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IFERROR(__xludf.DUMMYFUNCTION("IMPORTRANGE(""https://docs.google.com/spreadsheets/d/1SX6NBoVAgQJ6U1MVXOaj8PK2l7WJ3RER9xtqwdhxkhw/edit?usp=sharing"",""เพชรบุรี!L242"")"),832597.0)</f>
        <v>832597</v>
      </c>
      <c r="M347" s="391"/>
      <c r="N347" s="391">
        <f>IFERROR(__xludf.DUMMYFUNCTION("IMPORTRANGE(""https://docs.google.com/spreadsheets/d/1SX6NBoVAgQJ6U1MVXOaj8PK2l7WJ3RER9xtqwdhxkhw/edit?usp=sharing"",""เพชรบุรี!M242"")"),106735.0)</f>
        <v>106735</v>
      </c>
      <c r="O347" s="391">
        <f>+IF(L347&gt;0,N347*100/L347,0)</f>
        <v>12.81952733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IFERROR(__xludf.DUMMYFUNCTION("IMPORTRANGE(""https://docs.google.com/spreadsheets/d/1SX6NBoVAgQJ6U1MVXOaj8PK2l7WJ3RER9xtqwdhxkhw/edit?usp=sharing"",""เพชรบุรี!I244"")"),0.0)</f>
        <v>0</v>
      </c>
      <c r="J349" s="404">
        <f>IFERROR(__xludf.DUMMYFUNCTION("IMPORTRANGE(""https://docs.google.com/spreadsheets/d/1SX6NBoVAgQJ6U1MVXOaj8PK2l7WJ3RER9xtqwdhxkhw/edit?usp=sharing"",""เพชรบุรี!J244"")"),0.0)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IFERROR(__xludf.DUMMYFUNCTION("IMPORTRANGE(""https://docs.google.com/spreadsheets/d/1SX6NBoVAgQJ6U1MVXOaj8PK2l7WJ3RER9xtqwdhxkhw/edit?usp=sharing"",""เพชรบุรี!L244"")"),0.0)</f>
        <v>0</v>
      </c>
      <c r="M349" s="406"/>
      <c r="N349" s="406">
        <f>IFERROR(__xludf.DUMMYFUNCTION("IMPORTRANGE(""https://docs.google.com/spreadsheets/d/1SX6NBoVAgQJ6U1MVXOaj8PK2l7WJ3RER9xtqwdhxkhw/edit?usp=sharing"",""เพชรบุรี!M244"")"),0.0)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IFERROR(__xludf.DUMMYFUNCTION("IMPORTRANGE(""https://docs.google.com/spreadsheets/d/1SX6NBoVAgQJ6U1MVXOaj8PK2l7WJ3RER9xtqwdhxkhw/edit?usp=sharing"",""เพชรบุรี!I245"")"),0.0)</f>
        <v>0</v>
      </c>
      <c r="J350" s="404">
        <f>IFERROR(__xludf.DUMMYFUNCTION("IMPORTRANGE(""https://docs.google.com/spreadsheets/d/1SX6NBoVAgQJ6U1MVXOaj8PK2l7WJ3RER9xtqwdhxkhw/edit?usp=sharing"",""เพชรบุรี!J245"")"),0.0)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IFERROR(__xludf.DUMMYFUNCTION("IMPORTRANGE(""https://docs.google.com/spreadsheets/d/1SX6NBoVAgQJ6U1MVXOaj8PK2l7WJ3RER9xtqwdhxkhw/edit?usp=sharing"",""เพชรบุรี!L246"")"),0.0)</f>
        <v>0</v>
      </c>
      <c r="M351" s="197"/>
      <c r="N351" s="197">
        <f>IFERROR(__xludf.DUMMYFUNCTION("IMPORTRANGE(""https://docs.google.com/spreadsheets/d/1SX6NBoVAgQJ6U1MVXOaj8PK2l7WJ3RER9xtqwdhxkhw/edit?usp=sharing"",""เพชรบุรี!M246"")"),0.0)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IFERROR(__xludf.DUMMYFUNCTION("IMPORTRANGE(""https://docs.google.com/spreadsheets/d/1SX6NBoVAgQJ6U1MVXOaj8PK2l7WJ3RER9xtqwdhxkhw/edit?usp=sharing"",""เพชรบุรี!L247"")"),0.0)</f>
        <v>0</v>
      </c>
      <c r="M352" s="198"/>
      <c r="N352" s="197">
        <f>IFERROR(__xludf.DUMMYFUNCTION("IMPORTRANGE(""https://docs.google.com/spreadsheets/d/1SX6NBoVAgQJ6U1MVXOaj8PK2l7WJ3RER9xtqwdhxkhw/edit?usp=sharing"",""เพชรบุรี!M247"")"),0.0)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IFERROR(__xludf.DUMMYFUNCTION("IMPORTRANGE(""https://docs.google.com/spreadsheets/d/1SX6NBoVAgQJ6U1MVXOaj8PK2l7WJ3RER9xtqwdhxkhw/edit?usp=sharing"",""เพชรบุรี!L248"")"),0.0)</f>
        <v>0</v>
      </c>
      <c r="M353" s="203"/>
      <c r="N353" s="203">
        <f>IFERROR(__xludf.DUMMYFUNCTION("IMPORTRANGE(""https://docs.google.com/spreadsheets/d/1SX6NBoVAgQJ6U1MVXOaj8PK2l7WJ3RER9xtqwdhxkhw/edit?usp=sharing"",""เพชรบุรี!M248"")"),0.0)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IFERROR(__xludf.DUMMYFUNCTION("IMPORTRANGE(""https://docs.google.com/spreadsheets/d/1SX6NBoVAgQJ6U1MVXOaj8PK2l7WJ3RER9xtqwdhxkhw/edit?usp=sharing"",""เพชรบุรี!L249"")"),0.0)</f>
        <v>0</v>
      </c>
      <c r="M354" s="203"/>
      <c r="N354" s="200">
        <f>IFERROR(__xludf.DUMMYFUNCTION("IMPORTRANGE(""https://docs.google.com/spreadsheets/d/1SX6NBoVAgQJ6U1MVXOaj8PK2l7WJ3RER9xtqwdhxkhw/edit?usp=sharing"",""เพชรบุรี!M249"")"),0.0)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IFERROR(__xludf.DUMMYFUNCTION("IMPORTRANGE(""https://docs.google.com/spreadsheets/d/1SX6NBoVAgQJ6U1MVXOaj8PK2l7WJ3RER9xtqwdhxkhw/edit?usp=sharing"",""เพชรบุรี!M250"")"),0.0)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IFERROR(__xludf.DUMMYFUNCTION("IMPORTRANGE(""https://docs.google.com/spreadsheets/d/1SX6NBoVAgQJ6U1MVXOaj8PK2l7WJ3RER9xtqwdhxkhw/edit?usp=sharing"",""เพชรบุรี!M251"")"),0.0)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IFERROR(__xludf.DUMMYFUNCTION("IMPORTRANGE(""https://docs.google.com/spreadsheets/d/1SX6NBoVAgQJ6U1MVXOaj8PK2l7WJ3RER9xtqwdhxkhw/edit?usp=sharing"",""เพชรบุรี!M252"")"),0.0)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IFERROR(__xludf.DUMMYFUNCTION("IMPORTRANGE(""https://docs.google.com/spreadsheets/d/1SX6NBoVAgQJ6U1MVXOaj8PK2l7WJ3RER9xtqwdhxkhw/edit?usp=sharing"",""เพชรบุรี!M253"")"),0.0)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IFERROR(__xludf.DUMMYFUNCTION("IMPORTRANGE(""https://docs.google.com/spreadsheets/d/1SX6NBoVAgQJ6U1MVXOaj8PK2l7WJ3RER9xtqwdhxkhw/edit?usp=sharing"",""เพชรบุรี!J255"")"),0.0)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IFERROR(__xludf.DUMMYFUNCTION("IMPORTRANGE(""https://docs.google.com/spreadsheets/d/1SX6NBoVAgQJ6U1MVXOaj8PK2l7WJ3RER9xtqwdhxkhw/edit?usp=sharing"",""เพชรบุรี!J256"")"),0.0)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IFERROR(__xludf.DUMMYFUNCTION("IMPORTRANGE(""https://docs.google.com/spreadsheets/d/1SX6NBoVAgQJ6U1MVXOaj8PK2l7WJ3RER9xtqwdhxkhw/edit?usp=sharing"",""เพชรบุรี!J257"")"),0.0)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IFERROR(__xludf.DUMMYFUNCTION("IMPORTRANGE(""https://docs.google.com/spreadsheets/d/1SX6NBoVAgQJ6U1MVXOaj8PK2l7WJ3RER9xtqwdhxkhw/edit?usp=sharing"",""เพชรบุรี!J258"")"),0.0)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IFERROR(__xludf.DUMMYFUNCTION("IMPORTRANGE(""https://docs.google.com/spreadsheets/d/1SX6NBoVAgQJ6U1MVXOaj8PK2l7WJ3RER9xtqwdhxkhw/edit?usp=sharing"",""เพชรบุรี!J166"")"),0.0)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IFERROR(__xludf.DUMMYFUNCTION("IMPORTRANGE(""https://docs.google.com/spreadsheets/d/1SX6NBoVAgQJ6U1MVXOaj8PK2l7WJ3RER9xtqwdhxkhw/edit?usp=sharing"",""เพชรบุรี!J166"")"),0.0)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IFERROR(__xludf.DUMMYFUNCTION("IMPORTRANGE(""https://docs.google.com/spreadsheets/d/1SX6NBoVAgQJ6U1MVXOaj8PK2l7WJ3RER9xtqwdhxkhw/edit?usp=sharing"",""เพชรบุรี!J166"")"),0.0)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IFERROR(__xludf.DUMMYFUNCTION("IMPORTRANGE(""https://docs.google.com/spreadsheets/d/1SX6NBoVAgQJ6U1MVXOaj8PK2l7WJ3RER9xtqwdhxkhw/edit?usp=sharing"",""เพชรบุรี!J166"")"),0.0)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IFERROR(__xludf.DUMMYFUNCTION("IMPORTRANGE(""https://docs.google.com/spreadsheets/d/1SX6NBoVAgQJ6U1MVXOaj8PK2l7WJ3RER9xtqwdhxkhw/edit?usp=sharing"",""เพชรบุรี!I263"")"),0.0)</f>
        <v>0</v>
      </c>
      <c r="J368" s="222">
        <f>IFERROR(__xludf.DUMMYFUNCTION("IMPORTRANGE(""https://docs.google.com/spreadsheets/d/1SX6NBoVAgQJ6U1MVXOaj8PK2l7WJ3RER9xtqwdhxkhw/edit?usp=sharing"",""เพชรบุรี!J263"")"),0.0)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IFERROR(__xludf.DUMMYFUNCTION("IMPORTRANGE(""https://docs.google.com/spreadsheets/d/1SX6NBoVAgQJ6U1MVXOaj8PK2l7WJ3RER9xtqwdhxkhw/edit?usp=sharing"",""เพชรบุรี!I164"")"),0.0)</f>
        <v>0</v>
      </c>
      <c r="J369" s="238">
        <f>IFERROR(__xludf.DUMMYFUNCTION("IMPORTRANGE(""https://docs.google.com/spreadsheets/d/1SX6NBoVAgQJ6U1MVXOaj8PK2l7WJ3RER9xtqwdhxkhw/edit?usp=sharing"",""เพชรบุรี!J164"")"),0.0)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IFERROR(__xludf.DUMMYFUNCTION("IMPORTRANGE(""https://docs.google.com/spreadsheets/d/1SX6NBoVAgQJ6U1MVXOaj8PK2l7WJ3RER9xtqwdhxkhw/edit?usp=sharing"",""เพชรบุรี!I265"")"),0.0)</f>
        <v>0</v>
      </c>
      <c r="J370" s="238">
        <f>IFERROR(__xludf.DUMMYFUNCTION("IMPORTRANGE(""https://docs.google.com/spreadsheets/d/1SX6NBoVAgQJ6U1MVXOaj8PK2l7WJ3RER9xtqwdhxkhw/edit?usp=sharing"",""เพชรบุรี!J265"")"),0.0)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IFERROR(__xludf.DUMMYFUNCTION("IMPORTRANGE(""https://docs.google.com/spreadsheets/d/1SX6NBoVAgQJ6U1MVXOaj8PK2l7WJ3RER9xtqwdhxkhw/edit?usp=sharing"",""เพชรบุรี!I164"")"),0.0)</f>
        <v>0</v>
      </c>
      <c r="J371" s="223">
        <f>IFERROR(__xludf.DUMMYFUNCTION("IMPORTRANGE(""https://docs.google.com/spreadsheets/d/1SX6NBoVAgQJ6U1MVXOaj8PK2l7WJ3RER9xtqwdhxkhw/edit?usp=sharing"",""เพชรบุรี!J164"")"),0.0)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IFERROR(__xludf.DUMMYFUNCTION("IMPORTRANGE(""https://docs.google.com/spreadsheets/d/1SX6NBoVAgQJ6U1MVXOaj8PK2l7WJ3RER9xtqwdhxkhw/edit?usp=sharing"",""เพชรบุรี!I267"")"),0.0)</f>
        <v>0</v>
      </c>
      <c r="J372" s="223">
        <f>IFERROR(__xludf.DUMMYFUNCTION("IMPORTRANGE(""https://docs.google.com/spreadsheets/d/1SX6NBoVAgQJ6U1MVXOaj8PK2l7WJ3RER9xtqwdhxkhw/edit?usp=sharing"",""เพชรบุรี!J267"")"),0.0)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IFERROR(__xludf.DUMMYFUNCTION("IMPORTRANGE(""https://docs.google.com/spreadsheets/d/1SX6NBoVAgQJ6U1MVXOaj8PK2l7WJ3RER9xtqwdhxkhw/edit?usp=sharing"",""เพชรบุรี!I164"")"),0.0)</f>
        <v>0</v>
      </c>
      <c r="J373" s="238">
        <f>IFERROR(__xludf.DUMMYFUNCTION("IMPORTRANGE(""https://docs.google.com/spreadsheets/d/1SX6NBoVAgQJ6U1MVXOaj8PK2l7WJ3RER9xtqwdhxkhw/edit?usp=sharing"",""เพชรบุรี!J164"")"),0.0)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IFERROR(__xludf.DUMMYFUNCTION("IMPORTRANGE(""https://docs.google.com/spreadsheets/d/1SX6NBoVAgQJ6U1MVXOaj8PK2l7WJ3RER9xtqwdhxkhw/edit?usp=sharing"",""เพชรบุรี!I164"")"),0.0)</f>
        <v>0</v>
      </c>
      <c r="J374" s="222">
        <f>IFERROR(__xludf.DUMMYFUNCTION("IMPORTRANGE(""https://docs.google.com/spreadsheets/d/1SX6NBoVAgQJ6U1MVXOaj8PK2l7WJ3RER9xtqwdhxkhw/edit?usp=sharing"",""เพชรบุรี!J164"")"),0.0)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IFERROR(__xludf.DUMMYFUNCTION("IMPORTRANGE(""https://docs.google.com/spreadsheets/d/1SX6NBoVAgQJ6U1MVXOaj8PK2l7WJ3RER9xtqwdhxkhw/edit?usp=sharing"",""เพชรบุรี!I270"")"),0.0)</f>
        <v>0</v>
      </c>
      <c r="J375" s="222">
        <f>IFERROR(__xludf.DUMMYFUNCTION("IMPORTRANGE(""https://docs.google.com/spreadsheets/d/1SX6NBoVAgQJ6U1MVXOaj8PK2l7WJ3RER9xtqwdhxkhw/edit?usp=sharing"",""เพชรบุรี!J270"")"),0.0)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IFERROR(__xludf.DUMMYFUNCTION("IMPORTRANGE(""https://docs.google.com/spreadsheets/d/1SX6NBoVAgQJ6U1MVXOaj8PK2l7WJ3RER9xtqwdhxkhw/edit?usp=sharing"",""เพชรบุรี!I271"")"),0.0)</f>
        <v>0</v>
      </c>
      <c r="J376" s="223">
        <f>IFERROR(__xludf.DUMMYFUNCTION("IMPORTRANGE(""https://docs.google.com/spreadsheets/d/1SX6NBoVAgQJ6U1MVXOaj8PK2l7WJ3RER9xtqwdhxkhw/edit?usp=sharing"",""เพชรบุรี!J271"")"),0.0)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IFERROR(__xludf.DUMMYFUNCTION("IMPORTRANGE(""https://docs.google.com/spreadsheets/d/1SX6NBoVAgQJ6U1MVXOaj8PK2l7WJ3RER9xtqwdhxkhw/edit?usp=sharing"",""เพชรบุรี!I272"")"),0.0)</f>
        <v>0</v>
      </c>
      <c r="J377" s="238">
        <f>IFERROR(__xludf.DUMMYFUNCTION("IMPORTRANGE(""https://docs.google.com/spreadsheets/d/1SX6NBoVAgQJ6U1MVXOaj8PK2l7WJ3RER9xtqwdhxkhw/edit?usp=sharing"",""เพชรบุรี!J272"")"),0.0)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IFERROR(__xludf.DUMMYFUNCTION("IMPORTRANGE(""https://docs.google.com/spreadsheets/d/1SX6NBoVAgQJ6U1MVXOaj8PK2l7WJ3RER9xtqwdhxkhw/edit?usp=sharing"",""เพชรบุรี!J273"")"),0.0)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IFERROR(__xludf.DUMMYFUNCTION("IMPORTRANGE(""https://docs.google.com/spreadsheets/d/1SX6NBoVAgQJ6U1MVXOaj8PK2l7WJ3RER9xtqwdhxkhw/edit?usp=sharing"",""เพชรบุรี!J274"")"),0.0)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IFERROR(__xludf.DUMMYFUNCTION("IMPORTRANGE(""https://docs.google.com/spreadsheets/d/1SX6NBoVAgQJ6U1MVXOaj8PK2l7WJ3RER9xtqwdhxkhw/edit?usp=sharing"",""เพชรบุรี!I275"")"),200.0)</f>
        <v>200</v>
      </c>
      <c r="J380" s="404">
        <f>IFERROR(__xludf.DUMMYFUNCTION("IMPORTRANGE(""https://docs.google.com/spreadsheets/d/1SX6NBoVAgQJ6U1MVXOaj8PK2l7WJ3RER9xtqwdhxkhw/edit?usp=sharing"",""เพชรบุรี!J275"")"),0.0)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IFERROR(__xludf.DUMMYFUNCTION("IMPORTRANGE(""https://docs.google.com/spreadsheets/d/1SX6NBoVAgQJ6U1MVXOaj8PK2l7WJ3RER9xtqwdhxkhw/edit?usp=sharing"",""เพชรบุรี!L275"")"),207560.0)</f>
        <v>207560</v>
      </c>
      <c r="M380" s="406"/>
      <c r="N380" s="406">
        <f>IFERROR(__xludf.DUMMYFUNCTION("IMPORTRANGE(""https://docs.google.com/spreadsheets/d/1SX6NBoVAgQJ6U1MVXOaj8PK2l7WJ3RER9xtqwdhxkhw/edit?usp=sharing"",""เพชรบุรี!M275"")"),63140.0)</f>
        <v>63140</v>
      </c>
      <c r="O380" s="406">
        <f>+IF(L380&gt;0,N380*100/L380,0)</f>
        <v>30.42011948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IFERROR(__xludf.DUMMYFUNCTION("IMPORTRANGE(""https://docs.google.com/spreadsheets/d/1SX6NBoVAgQJ6U1MVXOaj8PK2l7WJ3RER9xtqwdhxkhw/edit?usp=sharing"",""เพชรบุรี!I276"")"),20.0)</f>
        <v>20</v>
      </c>
      <c r="J381" s="404">
        <f>IFERROR(__xludf.DUMMYFUNCTION("IMPORTRANGE(""https://docs.google.com/spreadsheets/d/1SX6NBoVAgQJ6U1MVXOaj8PK2l7WJ3RER9xtqwdhxkhw/edit?usp=sharing"",""เพชรบุรี!J276"")"),20.0)</f>
        <v>20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IFERROR(__xludf.DUMMYFUNCTION("IMPORTRANGE(""https://docs.google.com/spreadsheets/d/1SX6NBoVAgQJ6U1MVXOaj8PK2l7WJ3RER9xtqwdhxkhw/edit?usp=sharing"",""เพชรบุรี!L277"")"),0.0)</f>
        <v>0</v>
      </c>
      <c r="M382" s="197"/>
      <c r="N382" s="197">
        <f>IFERROR(__xludf.DUMMYFUNCTION("IMPORTRANGE(""https://docs.google.com/spreadsheets/d/1SX6NBoVAgQJ6U1MVXOaj8PK2l7WJ3RER9xtqwdhxkhw/edit?usp=sharing"",""เพชรบุรี!M277"")"),0.0)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IFERROR(__xludf.DUMMYFUNCTION("IMPORTRANGE(""https://docs.google.com/spreadsheets/d/1SX6NBoVAgQJ6U1MVXOaj8PK2l7WJ3RER9xtqwdhxkhw/edit?usp=sharing"",""เพชรบุรี!L278"")"),207560.0)</f>
        <v>207560</v>
      </c>
      <c r="M383" s="198"/>
      <c r="N383" s="198">
        <f>IFERROR(__xludf.DUMMYFUNCTION("IMPORTRANGE(""https://docs.google.com/spreadsheets/d/1SX6NBoVAgQJ6U1MVXOaj8PK2l7WJ3RER9xtqwdhxkhw/edit?usp=sharing"",""เพชรบุรี!M278"")"),63140.0)</f>
        <v>63140</v>
      </c>
      <c r="O383" s="198">
        <f t="shared" si="110"/>
        <v>30.42011948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IFERROR(__xludf.DUMMYFUNCTION("IMPORTRANGE(""https://docs.google.com/spreadsheets/d/1SX6NBoVAgQJ6U1MVXOaj8PK2l7WJ3RER9xtqwdhxkhw/edit?usp=sharing"",""เพชรบุรี!L279"")"),0.0)</f>
        <v>0</v>
      </c>
      <c r="M384" s="203"/>
      <c r="N384" s="203">
        <f>IFERROR(__xludf.DUMMYFUNCTION("IMPORTRANGE(""https://docs.google.com/spreadsheets/d/1SX6NBoVAgQJ6U1MVXOaj8PK2l7WJ3RER9xtqwdhxkhw/edit?usp=sharing"",""เพชรบุรี!M279"")"),0.0)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IFERROR(__xludf.DUMMYFUNCTION("IMPORTRANGE(""https://docs.google.com/spreadsheets/d/1SX6NBoVAgQJ6U1MVXOaj8PK2l7WJ3RER9xtqwdhxkhw/edit?usp=sharing"",""เพชรบุรี!L280"")"),207560.0)</f>
        <v>207560</v>
      </c>
      <c r="M385" s="203"/>
      <c r="N385" s="200">
        <f>IFERROR(__xludf.DUMMYFUNCTION("IMPORTRANGE(""https://docs.google.com/spreadsheets/d/1SX6NBoVAgQJ6U1MVXOaj8PK2l7WJ3RER9xtqwdhxkhw/edit?usp=sharing"",""เพชรบุรี!M280"")"),63140.0)</f>
        <v>63140</v>
      </c>
      <c r="O385" s="203">
        <f t="shared" si="110"/>
        <v>30.42011948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IFERROR(__xludf.DUMMYFUNCTION("IMPORTRANGE(""https://docs.google.com/spreadsheets/d/1SX6NBoVAgQJ6U1MVXOaj8PK2l7WJ3RER9xtqwdhxkhw/edit?usp=sharing"",""เพชรบุรี!M281"")"),63140.0)</f>
        <v>63140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IFERROR(__xludf.DUMMYFUNCTION("IMPORTRANGE(""https://docs.google.com/spreadsheets/d/1SX6NBoVAgQJ6U1MVXOaj8PK2l7WJ3RER9xtqwdhxkhw/edit?usp=sharing"",""เพชรบุรี!M282"")"),0.0)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IFERROR(__xludf.DUMMYFUNCTION("IMPORTRANGE(""https://docs.google.com/spreadsheets/d/1SX6NBoVAgQJ6U1MVXOaj8PK2l7WJ3RER9xtqwdhxkhw/edit?usp=sharing"",""เพชรบุรี!M283"")"),0.0)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IFERROR(__xludf.DUMMYFUNCTION("IMPORTRANGE(""https://docs.google.com/spreadsheets/d/1SX6NBoVAgQJ6U1MVXOaj8PK2l7WJ3RER9xtqwdhxkhw/edit?usp=sharing"",""เพชรบุรี!M284"")"),0.0)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IFERROR(__xludf.DUMMYFUNCTION("IMPORTRANGE(""https://docs.google.com/spreadsheets/d/1SX6NBoVAgQJ6U1MVXOaj8PK2l7WJ3RER9xtqwdhxkhw/edit?usp=sharing"",""เพชรบุรี!J286"")"),0.0)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IFERROR(__xludf.DUMMYFUNCTION("IMPORTRANGE(""https://docs.google.com/spreadsheets/d/1SX6NBoVAgQJ6U1MVXOaj8PK2l7WJ3RER9xtqwdhxkhw/edit?usp=sharing"",""เพชรบุรี!J287"")"),1.0)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IFERROR(__xludf.DUMMYFUNCTION("IMPORTRANGE(""https://docs.google.com/spreadsheets/d/1SX6NBoVAgQJ6U1MVXOaj8PK2l7WJ3RER9xtqwdhxkhw/edit?usp=sharing"",""เพชรบุรี!J288"")"),1.0)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IFERROR(__xludf.DUMMYFUNCTION("IMPORTRANGE(""https://docs.google.com/spreadsheets/d/1SX6NBoVAgQJ6U1MVXOaj8PK2l7WJ3RER9xtqwdhxkhw/edit?usp=sharing"",""เพชรบุรี!J289"")"),1.0)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IFERROR(__xludf.DUMMYFUNCTION("IMPORTRANGE(""https://docs.google.com/spreadsheets/d/1SX6NBoVAgQJ6U1MVXOaj8PK2l7WJ3RER9xtqwdhxkhw/edit?usp=sharing"",""เพชรบุรี!I291"")"),20.0)</f>
        <v>20</v>
      </c>
      <c r="J396" s="232">
        <f>IFERROR(__xludf.DUMMYFUNCTION("IMPORTRANGE(""https://docs.google.com/spreadsheets/d/1SX6NBoVAgQJ6U1MVXOaj8PK2l7WJ3RER9xtqwdhxkhw/edit?usp=sharing"",""เพชรบุรี!J291"")"),20.0)</f>
        <v>20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IFERROR(__xludf.DUMMYFUNCTION("IMPORTRANGE(""https://docs.google.com/spreadsheets/d/1SX6NBoVAgQJ6U1MVXOaj8PK2l7WJ3RER9xtqwdhxkhw/edit?usp=sharing"",""เพชรบุรี!I292"")"),200.0)</f>
        <v>200</v>
      </c>
      <c r="J397" s="232">
        <f>IFERROR(__xludf.DUMMYFUNCTION("IMPORTRANGE(""https://docs.google.com/spreadsheets/d/1SX6NBoVAgQJ6U1MVXOaj8PK2l7WJ3RER9xtqwdhxkhw/edit?usp=sharing"",""เพชรบุรี!J292"")"),0.0)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IFERROR(__xludf.DUMMYFUNCTION("IMPORTRANGE(""https://docs.google.com/spreadsheets/d/1SX6NBoVAgQJ6U1MVXOaj8PK2l7WJ3RER9xtqwdhxkhw/edit?usp=sharing"",""เพชรบุรี!I293"")"),20.0)</f>
        <v>20</v>
      </c>
      <c r="J398" s="232">
        <f>IFERROR(__xludf.DUMMYFUNCTION("IMPORTRANGE(""https://docs.google.com/spreadsheets/d/1SX6NBoVAgQJ6U1MVXOaj8PK2l7WJ3RER9xtqwdhxkhw/edit?usp=sharing"",""เพชรบุรี!J293"")"),0.0)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IFERROR(__xludf.DUMMYFUNCTION("IMPORTRANGE(""https://docs.google.com/spreadsheets/d/1SX6NBoVAgQJ6U1MVXOaj8PK2l7WJ3RER9xtqwdhxkhw/edit?usp=sharing"",""เพชรบุรี!J294"")"),0.0)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IFERROR(__xludf.DUMMYFUNCTION("IMPORTRANGE(""https://docs.google.com/spreadsheets/d/1SX6NBoVAgQJ6U1MVXOaj8PK2l7WJ3RER9xtqwdhxkhw/edit?usp=sharing"",""เพชรบุรี!J295"")"),0.0)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IFERROR(__xludf.DUMMYFUNCTION("IMPORTRANGE(""https://docs.google.com/spreadsheets/d/1SX6NBoVAgQJ6U1MVXOaj8PK2l7WJ3RER9xtqwdhxkhw/edit?usp=sharing"",""เพชรบุรี!I296"")"),180.0)</f>
        <v>180</v>
      </c>
      <c r="J401" s="404">
        <f>IFERROR(__xludf.DUMMYFUNCTION("IMPORTRANGE(""https://docs.google.com/spreadsheets/d/1SX6NBoVAgQJ6U1MVXOaj8PK2l7WJ3RER9xtqwdhxkhw/edit?usp=sharing"",""เพชรบุรี!J296"")"),0.0)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IFERROR(__xludf.DUMMYFUNCTION("IMPORTRANGE(""https://docs.google.com/spreadsheets/d/1SX6NBoVAgQJ6U1MVXOaj8PK2l7WJ3RER9xtqwdhxkhw/edit?usp=sharing"",""เพชรบุรี!L296"")"),207000.0)</f>
        <v>207000</v>
      </c>
      <c r="M401" s="406"/>
      <c r="N401" s="406">
        <f>IFERROR(__xludf.DUMMYFUNCTION("IMPORTRANGE(""https://docs.google.com/spreadsheets/d/1SX6NBoVAgQJ6U1MVXOaj8PK2l7WJ3RER9xtqwdhxkhw/edit?usp=sharing"",""เพชรบุรี!M296"")"),0.0)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IFERROR(__xludf.DUMMYFUNCTION("IMPORTRANGE(""https://docs.google.com/spreadsheets/d/1SX6NBoVAgQJ6U1MVXOaj8PK2l7WJ3RER9xtqwdhxkhw/edit?usp=sharing"",""เพชรบุรี!I297"")"),60.0)</f>
        <v>60</v>
      </c>
      <c r="J402" s="404">
        <f>IFERROR(__xludf.DUMMYFUNCTION("IMPORTRANGE(""https://docs.google.com/spreadsheets/d/1SX6NBoVAgQJ6U1MVXOaj8PK2l7WJ3RER9xtqwdhxkhw/edit?usp=sharing"",""เพชรบุรี!J297"")"),0.0)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IFERROR(__xludf.DUMMYFUNCTION("IMPORTRANGE(""https://docs.google.com/spreadsheets/d/1SX6NBoVAgQJ6U1MVXOaj8PK2l7WJ3RER9xtqwdhxkhw/edit?usp=sharing"",""เพชรบุรี!L298"")"),0.0)</f>
        <v>0</v>
      </c>
      <c r="M403" s="197"/>
      <c r="N403" s="203">
        <f>IFERROR(__xludf.DUMMYFUNCTION("IMPORTRANGE(""https://docs.google.com/spreadsheets/d/1SX6NBoVAgQJ6U1MVXOaj8PK2l7WJ3RER9xtqwdhxkhw/edit?usp=sharing"",""เพชรบุรี!M298"")"),0.0)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IFERROR(__xludf.DUMMYFUNCTION("IMPORTRANGE(""https://docs.google.com/spreadsheets/d/1SX6NBoVAgQJ6U1MVXOaj8PK2l7WJ3RER9xtqwdhxkhw/edit?usp=sharing"",""เพชรบุรี!L299"")"),207000.0)</f>
        <v>207000</v>
      </c>
      <c r="M404" s="198"/>
      <c r="N404" s="203">
        <f>IFERROR(__xludf.DUMMYFUNCTION("IMPORTRANGE(""https://docs.google.com/spreadsheets/d/1SX6NBoVAgQJ6U1MVXOaj8PK2l7WJ3RER9xtqwdhxkhw/edit?usp=sharing"",""เพชรบุรี!M299"")"),0.0)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IFERROR(__xludf.DUMMYFUNCTION("IMPORTRANGE(""https://docs.google.com/spreadsheets/d/1SX6NBoVAgQJ6U1MVXOaj8PK2l7WJ3RER9xtqwdhxkhw/edit?usp=sharing"",""เพชรบุรี!L300"")"),0.0)</f>
        <v>0</v>
      </c>
      <c r="M405" s="203"/>
      <c r="N405" s="203">
        <f>IFERROR(__xludf.DUMMYFUNCTION("IMPORTRANGE(""https://docs.google.com/spreadsheets/d/1SX6NBoVAgQJ6U1MVXOaj8PK2l7WJ3RER9xtqwdhxkhw/edit?usp=sharing"",""เพชรบุรี!M300"")"),0.0)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IFERROR(__xludf.DUMMYFUNCTION("IMPORTRANGE(""https://docs.google.com/spreadsheets/d/1SX6NBoVAgQJ6U1MVXOaj8PK2l7WJ3RER9xtqwdhxkhw/edit?usp=sharing"",""เพชรบุรี!L301"")"),207000.0)</f>
        <v>207000</v>
      </c>
      <c r="M406" s="203"/>
      <c r="N406" s="203">
        <f>IFERROR(__xludf.DUMMYFUNCTION("IMPORTRANGE(""https://docs.google.com/spreadsheets/d/1SX6NBoVAgQJ6U1MVXOaj8PK2l7WJ3RER9xtqwdhxkhw/edit?usp=sharing"",""เพชรบุรี!M301"")"),0.0)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IFERROR(__xludf.DUMMYFUNCTION("IMPORTRANGE(""https://docs.google.com/spreadsheets/d/1SX6NBoVAgQJ6U1MVXOaj8PK2l7WJ3RER9xtqwdhxkhw/edit?usp=sharing"",""เพชรบุรี!M302"")"),0.0)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IFERROR(__xludf.DUMMYFUNCTION("IMPORTRANGE(""https://docs.google.com/spreadsheets/d/1SX6NBoVAgQJ6U1MVXOaj8PK2l7WJ3RER9xtqwdhxkhw/edit?usp=sharing"",""เพชรบุรี!M303"")"),0.0)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IFERROR(__xludf.DUMMYFUNCTION("IMPORTRANGE(""https://docs.google.com/spreadsheets/d/1SX6NBoVAgQJ6U1MVXOaj8PK2l7WJ3RER9xtqwdhxkhw/edit?usp=sharing"",""เพชรบุรี!M304"")"),0.0)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IFERROR(__xludf.DUMMYFUNCTION("IMPORTRANGE(""https://docs.google.com/spreadsheets/d/1SX6NBoVAgQJ6U1MVXOaj8PK2l7WJ3RER9xtqwdhxkhw/edit?usp=sharing"",""เพชรบุรี!M305"")"),0.0)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IFERROR(__xludf.DUMMYFUNCTION("IMPORTRANGE(""https://docs.google.com/spreadsheets/d/1SX6NBoVAgQJ6U1MVXOaj8PK2l7WJ3RER9xtqwdhxkhw/edit?usp=sharing"",""เพชรบุรี!J307"")"),0.0)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IFERROR(__xludf.DUMMYFUNCTION("IMPORTRANGE(""https://docs.google.com/spreadsheets/d/1SX6NBoVAgQJ6U1MVXOaj8PK2l7WJ3RER9xtqwdhxkhw/edit?usp=sharing"",""เพชรบุรี!J308"")"),1.0)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IFERROR(__xludf.DUMMYFUNCTION("IMPORTRANGE(""https://docs.google.com/spreadsheets/d/1SX6NBoVAgQJ6U1MVXOaj8PK2l7WJ3RER9xtqwdhxkhw/edit?usp=sharing"",""เพชรบุรี!J309"")"),0.0)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IFERROR(__xludf.DUMMYFUNCTION("IMPORTRANGE(""https://docs.google.com/spreadsheets/d/1SX6NBoVAgQJ6U1MVXOaj8PK2l7WJ3RER9xtqwdhxkhw/edit?usp=sharing"",""เพชรบุรี!J310"")"),0.0)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IFERROR(__xludf.DUMMYFUNCTION("IMPORTRANGE(""https://docs.google.com/spreadsheets/d/1SX6NBoVAgQJ6U1MVXOaj8PK2l7WJ3RER9xtqwdhxkhw/edit?usp=sharing"",""เพชรบุรี!I311"")"),60.0)</f>
        <v>60</v>
      </c>
      <c r="J416" s="235">
        <f>IFERROR(__xludf.DUMMYFUNCTION("IMPORTRANGE(""https://docs.google.com/spreadsheets/d/1SX6NBoVAgQJ6U1MVXOaj8PK2l7WJ3RER9xtqwdhxkhw/edit?usp=sharing"",""เพชรบุรี!J311"")"),0.0)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IFERROR(__xludf.DUMMYFUNCTION("IMPORTRANGE(""https://docs.google.com/spreadsheets/d/1SX6NBoVAgQJ6U1MVXOaj8PK2l7WJ3RER9xtqwdhxkhw/edit?usp=sharing"",""เพชรบุรี!I312"")"),25.0)</f>
        <v>25</v>
      </c>
      <c r="J417" s="425">
        <f>IFERROR(__xludf.DUMMYFUNCTION("IMPORTRANGE(""https://docs.google.com/spreadsheets/d/1SX6NBoVAgQJ6U1MVXOaj8PK2l7WJ3RER9xtqwdhxkhw/edit?usp=sharing"",""เพชรบุรี!J312"")"),0.0)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IFERROR(__xludf.DUMMYFUNCTION("IMPORTRANGE(""https://docs.google.com/spreadsheets/d/1SX6NBoVAgQJ6U1MVXOaj8PK2l7WJ3RER9xtqwdhxkhw/edit?usp=sharing"",""เพชรบุรี!I313"")"),75.0)</f>
        <v>75</v>
      </c>
      <c r="J418" s="426">
        <f>IFERROR(__xludf.DUMMYFUNCTION("IMPORTRANGE(""https://docs.google.com/spreadsheets/d/1SX6NBoVAgQJ6U1MVXOaj8PK2l7WJ3RER9xtqwdhxkhw/edit?usp=sharing"",""เพชรบุรี!J313"")"),0.0)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IFERROR(__xludf.DUMMYFUNCTION("IMPORTRANGE(""https://docs.google.com/spreadsheets/d/1SX6NBoVAgQJ6U1MVXOaj8PK2l7WJ3RER9xtqwdhxkhw/edit?usp=sharing"",""เพชรบุรี!I314"")"),25.0)</f>
        <v>25</v>
      </c>
      <c r="J419" s="427">
        <f>IFERROR(__xludf.DUMMYFUNCTION("IMPORTRANGE(""https://docs.google.com/spreadsheets/d/1SX6NBoVAgQJ6U1MVXOaj8PK2l7WJ3RER9xtqwdhxkhw/edit?usp=sharing"",""เพชรบุรี!J314"")"),0.0)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IFERROR(__xludf.DUMMYFUNCTION("IMPORTRANGE(""https://docs.google.com/spreadsheets/d/1SX6NBoVAgQJ6U1MVXOaj8PK2l7WJ3RER9xtqwdhxkhw/edit?usp=sharing"",""เพชรบุรี!I315"")"),25.0)</f>
        <v>25</v>
      </c>
      <c r="J420" s="427">
        <f>IFERROR(__xludf.DUMMYFUNCTION("IMPORTRANGE(""https://docs.google.com/spreadsheets/d/1SX6NBoVAgQJ6U1MVXOaj8PK2l7WJ3RER9xtqwdhxkhw/edit?usp=sharing"",""เพชรบุรี!J315"")"),0.0)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IFERROR(__xludf.DUMMYFUNCTION("IMPORTRANGE(""https://docs.google.com/spreadsheets/d/1SX6NBoVAgQJ6U1MVXOaj8PK2l7WJ3RER9xtqwdhxkhw/edit?usp=sharing"",""เพชรบุรี!I316"")"),24.0)</f>
        <v>24</v>
      </c>
      <c r="J421" s="425">
        <f>IFERROR(__xludf.DUMMYFUNCTION("IMPORTRANGE(""https://docs.google.com/spreadsheets/d/1SX6NBoVAgQJ6U1MVXOaj8PK2l7WJ3RER9xtqwdhxkhw/edit?usp=sharing"",""เพชรบุรี!J316"")"),0.0)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IFERROR(__xludf.DUMMYFUNCTION("IMPORTRANGE(""https://docs.google.com/spreadsheets/d/1SX6NBoVAgQJ6U1MVXOaj8PK2l7WJ3RER9xtqwdhxkhw/edit?usp=sharing"",""เพชรบุรี!I317"")"),72.0)</f>
        <v>72</v>
      </c>
      <c r="J422" s="426">
        <f>IFERROR(__xludf.DUMMYFUNCTION("IMPORTRANGE(""https://docs.google.com/spreadsheets/d/1SX6NBoVAgQJ6U1MVXOaj8PK2l7WJ3RER9xtqwdhxkhw/edit?usp=sharing"",""เพชรบุรี!J317"")"),0.0)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IFERROR(__xludf.DUMMYFUNCTION("IMPORTRANGE(""https://docs.google.com/spreadsheets/d/1SX6NBoVAgQJ6U1MVXOaj8PK2l7WJ3RER9xtqwdhxkhw/edit?usp=sharing"",""เพชรบุรี!I318"")"),24.0)</f>
        <v>24</v>
      </c>
      <c r="J423" s="427">
        <f>IFERROR(__xludf.DUMMYFUNCTION("IMPORTRANGE(""https://docs.google.com/spreadsheets/d/1SX6NBoVAgQJ6U1MVXOaj8PK2l7WJ3RER9xtqwdhxkhw/edit?usp=sharing"",""เพชรบุรี!J318"")"),0.0)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IFERROR(__xludf.DUMMYFUNCTION("IMPORTRANGE(""https://docs.google.com/spreadsheets/d/1SX6NBoVAgQJ6U1MVXOaj8PK2l7WJ3RER9xtqwdhxkhw/edit?usp=sharing"",""เพชรบุรี!I319"")"),24.0)</f>
        <v>24</v>
      </c>
      <c r="J424" s="427">
        <f>IFERROR(__xludf.DUMMYFUNCTION("IMPORTRANGE(""https://docs.google.com/spreadsheets/d/1SX6NBoVAgQJ6U1MVXOaj8PK2l7WJ3RER9xtqwdhxkhw/edit?usp=sharing"",""เพชรบุรี!J319"")"),0.0)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IFERROR(__xludf.DUMMYFUNCTION("IMPORTRANGE(""https://docs.google.com/spreadsheets/d/1SX6NBoVAgQJ6U1MVXOaj8PK2l7WJ3RER9xtqwdhxkhw/edit?usp=sharing"",""เพชรบุรี!I320"")"),24.0)</f>
        <v>24</v>
      </c>
      <c r="J425" s="427">
        <f>IFERROR(__xludf.DUMMYFUNCTION("IMPORTRANGE(""https://docs.google.com/spreadsheets/d/1SX6NBoVAgQJ6U1MVXOaj8PK2l7WJ3RER9xtqwdhxkhw/edit?usp=sharing"",""เพชรบุรี!J320"")"),0.0)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IFERROR(__xludf.DUMMYFUNCTION("IMPORTRANGE(""https://docs.google.com/spreadsheets/d/1SX6NBoVAgQJ6U1MVXOaj8PK2l7WJ3RER9xtqwdhxkhw/edit?usp=sharing"",""เพชรบุรี!I321"")"),11.0)</f>
        <v>11</v>
      </c>
      <c r="J426" s="425">
        <f>IFERROR(__xludf.DUMMYFUNCTION("IMPORTRANGE(""https://docs.google.com/spreadsheets/d/1SX6NBoVAgQJ6U1MVXOaj8PK2l7WJ3RER9xtqwdhxkhw/edit?usp=sharing"",""เพชรบุรี!J321"")"),0.0)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IFERROR(__xludf.DUMMYFUNCTION("IMPORTRANGE(""https://docs.google.com/spreadsheets/d/1SX6NBoVAgQJ6U1MVXOaj8PK2l7WJ3RER9xtqwdhxkhw/edit?usp=sharing"",""เพชรบุรี!I322"")"),33.0)</f>
        <v>33</v>
      </c>
      <c r="J427" s="426">
        <f>IFERROR(__xludf.DUMMYFUNCTION("IMPORTRANGE(""https://docs.google.com/spreadsheets/d/1SX6NBoVAgQJ6U1MVXOaj8PK2l7WJ3RER9xtqwdhxkhw/edit?usp=sharing"",""เพชรบุรี!J322"")"),0.0)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IFERROR(__xludf.DUMMYFUNCTION("IMPORTRANGE(""https://docs.google.com/spreadsheets/d/1SX6NBoVAgQJ6U1MVXOaj8PK2l7WJ3RER9xtqwdhxkhw/edit?usp=sharing"",""เพชรบุรี!I323"")"),11.0)</f>
        <v>11</v>
      </c>
      <c r="J428" s="427">
        <f>IFERROR(__xludf.DUMMYFUNCTION("IMPORTRANGE(""https://docs.google.com/spreadsheets/d/1SX6NBoVAgQJ6U1MVXOaj8PK2l7WJ3RER9xtqwdhxkhw/edit?usp=sharing"",""เพชรบุรี!J323"")"),0.0)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IFERROR(__xludf.DUMMYFUNCTION("IMPORTRANGE(""https://docs.google.com/spreadsheets/d/1SX6NBoVAgQJ6U1MVXOaj8PK2l7WJ3RER9xtqwdhxkhw/edit?usp=sharing"",""เพชรบุรี!I324"")"),11.0)</f>
        <v>11</v>
      </c>
      <c r="J429" s="427">
        <f>IFERROR(__xludf.DUMMYFUNCTION("IMPORTRANGE(""https://docs.google.com/spreadsheets/d/1SX6NBoVAgQJ6U1MVXOaj8PK2l7WJ3RER9xtqwdhxkhw/edit?usp=sharing"",""เพชรบุรี!J324"")"),0.0)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IFERROR(__xludf.DUMMYFUNCTION("IMPORTRANGE(""https://docs.google.com/spreadsheets/d/1SX6NBoVAgQJ6U1MVXOaj8PK2l7WJ3RER9xtqwdhxkhw/edit?usp=sharing"",""เพชรบุรี!I325"")"),49.0)</f>
        <v>49</v>
      </c>
      <c r="J430" s="425">
        <f>IFERROR(__xludf.DUMMYFUNCTION("IMPORTRANGE(""https://docs.google.com/spreadsheets/d/1SX6NBoVAgQJ6U1MVXOaj8PK2l7WJ3RER9xtqwdhxkhw/edit?usp=sharing"",""เพชรบุรี!J325"")"),0.0)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IFERROR(__xludf.DUMMYFUNCTION("IMPORTRANGE(""https://docs.google.com/spreadsheets/d/1SX6NBoVAgQJ6U1MVXOaj8PK2l7WJ3RER9xtqwdhxkhw/edit?usp=sharing"",""เพชรบุรี!I326"")"),25.0)</f>
        <v>25</v>
      </c>
      <c r="J431" s="427">
        <f>IFERROR(__xludf.DUMMYFUNCTION("IMPORTRANGE(""https://docs.google.com/spreadsheets/d/1SX6NBoVAgQJ6U1MVXOaj8PK2l7WJ3RER9xtqwdhxkhw/edit?usp=sharing"",""เพชรบุรี!J326"")"),0.0)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IFERROR(__xludf.DUMMYFUNCTION("IMPORTRANGE(""https://docs.google.com/spreadsheets/d/1SX6NBoVAgQJ6U1MVXOaj8PK2l7WJ3RER9xtqwdhxkhw/edit?usp=sharing"",""เพชรบุรี!I327"")"),24.0)</f>
        <v>24</v>
      </c>
      <c r="J432" s="427">
        <f>IFERROR(__xludf.DUMMYFUNCTION("IMPORTRANGE(""https://docs.google.com/spreadsheets/d/1SX6NBoVAgQJ6U1MVXOaj8PK2l7WJ3RER9xtqwdhxkhw/edit?usp=sharing"",""เพชรบุรี!J327"")"),0.0)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IFERROR(__xludf.DUMMYFUNCTION("IMPORTRANGE(""https://docs.google.com/spreadsheets/d/1SX6NBoVAgQJ6U1MVXOaj8PK2l7WJ3RER9xtqwdhxkhw/edit?usp=sharing"",""เพชรบุรี!J328"")"),0.0)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IFERROR(__xludf.DUMMYFUNCTION("IMPORTRANGE(""https://docs.google.com/spreadsheets/d/1SX6NBoVAgQJ6U1MVXOaj8PK2l7WJ3RER9xtqwdhxkhw/edit?usp=sharing"",""เพชรบุรี!J329"")"),0.0)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IFERROR(__xludf.DUMMYFUNCTION("IMPORTRANGE(""https://docs.google.com/spreadsheets/d/1SX6NBoVAgQJ6U1MVXOaj8PK2l7WJ3RER9xtqwdhxkhw/edit?usp=sharing"",""เพชรบุรี!I330"")"),50.0)</f>
        <v>50</v>
      </c>
      <c r="J435" s="443">
        <f>IFERROR(__xludf.DUMMYFUNCTION("IMPORTRANGE(""https://docs.google.com/spreadsheets/d/1SX6NBoVAgQJ6U1MVXOaj8PK2l7WJ3RER9xtqwdhxkhw/edit?usp=sharing"",""เพชรบุรี!J330"")"),0.0)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IFERROR(__xludf.DUMMYFUNCTION("IMPORTRANGE(""https://docs.google.com/spreadsheets/d/1SX6NBoVAgQJ6U1MVXOaj8PK2l7WJ3RER9xtqwdhxkhw/edit?usp=sharing"",""เพชรบุรี!L330"")"),161400.0)</f>
        <v>161400</v>
      </c>
      <c r="M435" s="445"/>
      <c r="N435" s="445">
        <f>IFERROR(__xludf.DUMMYFUNCTION("IMPORTRANGE(""https://docs.google.com/spreadsheets/d/1SX6NBoVAgQJ6U1MVXOaj8PK2l7WJ3RER9xtqwdhxkhw/edit?usp=sharing"",""เพชรบุรี!M330"")"),1840.0)</f>
        <v>1840</v>
      </c>
      <c r="O435" s="445">
        <f t="shared" ref="O435:O439" si="115">+IF(L435&gt;0,N435*100/L435,0)</f>
        <v>1.140024783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IFERROR(__xludf.DUMMYFUNCTION("IMPORTRANGE(""https://docs.google.com/spreadsheets/d/1SX6NBoVAgQJ6U1MVXOaj8PK2l7WJ3RER9xtqwdhxkhw/edit?usp=sharing"",""เพชรบุรี!L331"")"),0.0)</f>
        <v>0</v>
      </c>
      <c r="M436" s="197"/>
      <c r="N436" s="203">
        <f>IFERROR(__xludf.DUMMYFUNCTION("IMPORTRANGE(""https://docs.google.com/spreadsheets/d/1SX6NBoVAgQJ6U1MVXOaj8PK2l7WJ3RER9xtqwdhxkhw/edit?usp=sharing"",""เพชรบุรี!M331"")"),0.0)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IFERROR(__xludf.DUMMYFUNCTION("IMPORTRANGE(""https://docs.google.com/spreadsheets/d/1SX6NBoVAgQJ6U1MVXOaj8PK2l7WJ3RER9xtqwdhxkhw/edit?usp=sharing"",""เพชรบุรี!L332"")"),161400.0)</f>
        <v>161400</v>
      </c>
      <c r="M437" s="198"/>
      <c r="N437" s="203">
        <f>IFERROR(__xludf.DUMMYFUNCTION("IMPORTRANGE(""https://docs.google.com/spreadsheets/d/1SX6NBoVAgQJ6U1MVXOaj8PK2l7WJ3RER9xtqwdhxkhw/edit?usp=sharing"",""เพชรบุรี!M332"")"),1840.0)</f>
        <v>1840</v>
      </c>
      <c r="O437" s="203">
        <f t="shared" si="115"/>
        <v>1.140024783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IFERROR(__xludf.DUMMYFUNCTION("IMPORTRANGE(""https://docs.google.com/spreadsheets/d/1SX6NBoVAgQJ6U1MVXOaj8PK2l7WJ3RER9xtqwdhxkhw/edit?usp=sharing"",""เพชรบุรี!L333"")"),0.0)</f>
        <v>0</v>
      </c>
      <c r="M438" s="203"/>
      <c r="N438" s="203">
        <f>IFERROR(__xludf.DUMMYFUNCTION("IMPORTRANGE(""https://docs.google.com/spreadsheets/d/1SX6NBoVAgQJ6U1MVXOaj8PK2l7WJ3RER9xtqwdhxkhw/edit?usp=sharing"",""เพชรบุรี!M333"")"),0.0)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IFERROR(__xludf.DUMMYFUNCTION("IMPORTRANGE(""https://docs.google.com/spreadsheets/d/1SX6NBoVAgQJ6U1MVXOaj8PK2l7WJ3RER9xtqwdhxkhw/edit?usp=sharing"",""เพชรบุรี!L334"")"),161400.0)</f>
        <v>161400</v>
      </c>
      <c r="M439" s="203"/>
      <c r="N439" s="203">
        <f>IFERROR(__xludf.DUMMYFUNCTION("IMPORTRANGE(""https://docs.google.com/spreadsheets/d/1SX6NBoVAgQJ6U1MVXOaj8PK2l7WJ3RER9xtqwdhxkhw/edit?usp=sharing"",""เพชรบุรี!M334"")"),1840.0)</f>
        <v>1840</v>
      </c>
      <c r="O439" s="203">
        <f t="shared" si="115"/>
        <v>1.140024783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IFERROR(__xludf.DUMMYFUNCTION("IMPORTRANGE(""https://docs.google.com/spreadsheets/d/1SX6NBoVAgQJ6U1MVXOaj8PK2l7WJ3RER9xtqwdhxkhw/edit?usp=sharing"",""เพชรบุรี!M335"")"),1840.0)</f>
        <v>1840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IFERROR(__xludf.DUMMYFUNCTION("IMPORTRANGE(""https://docs.google.com/spreadsheets/d/1SX6NBoVAgQJ6U1MVXOaj8PK2l7WJ3RER9xtqwdhxkhw/edit?usp=sharing"",""เพชรบุรี!M336"")"),0.0)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IFERROR(__xludf.DUMMYFUNCTION("IMPORTRANGE(""https://docs.google.com/spreadsheets/d/1SX6NBoVAgQJ6U1MVXOaj8PK2l7WJ3RER9xtqwdhxkhw/edit?usp=sharing"",""เพชรบุรี!M337"")"),0.0)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IFERROR(__xludf.DUMMYFUNCTION("IMPORTRANGE(""https://docs.google.com/spreadsheets/d/1SX6NBoVAgQJ6U1MVXOaj8PK2l7WJ3RER9xtqwdhxkhw/edit?usp=sharing"",""เพชรบุรี!M338"")"),0.0)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IFERROR(__xludf.DUMMYFUNCTION("IMPORTRANGE(""https://docs.google.com/spreadsheets/d/1SX6NBoVAgQJ6U1MVXOaj8PK2l7WJ3RER9xtqwdhxkhw/edit?usp=sharing"",""เพชรบุรี!J340"")"),0.0)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IFERROR(__xludf.DUMMYFUNCTION("IMPORTRANGE(""https://docs.google.com/spreadsheets/d/1SX6NBoVAgQJ6U1MVXOaj8PK2l7WJ3RER9xtqwdhxkhw/edit?usp=sharing"",""เพชรบุรี!J341"")"),1.0)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IFERROR(__xludf.DUMMYFUNCTION("IMPORTRANGE(""https://docs.google.com/spreadsheets/d/1SX6NBoVAgQJ6U1MVXOaj8PK2l7WJ3RER9xtqwdhxkhw/edit?usp=sharing"",""เพชรบุรี!J342"")"),0.0)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IFERROR(__xludf.DUMMYFUNCTION("IMPORTRANGE(""https://docs.google.com/spreadsheets/d/1SX6NBoVAgQJ6U1MVXOaj8PK2l7WJ3RER9xtqwdhxkhw/edit?usp=sharing"",""เพชรบุรี!J343"")"),0.0)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IFERROR(__xludf.DUMMYFUNCTION("IMPORTRANGE(""https://docs.google.com/spreadsheets/d/1SX6NBoVAgQJ6U1MVXOaj8PK2l7WJ3RER9xtqwdhxkhw/edit?usp=sharing"",""เพชรบุรี!I344"")"),50.0)</f>
        <v>50</v>
      </c>
      <c r="J449" s="235">
        <f>IFERROR(__xludf.DUMMYFUNCTION("IMPORTRANGE(""https://docs.google.com/spreadsheets/d/1SX6NBoVAgQJ6U1MVXOaj8PK2l7WJ3RER9xtqwdhxkhw/edit?usp=sharing"",""เพชรบุรี!J344"")"),0.0)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IFERROR(__xludf.DUMMYFUNCTION("IMPORTRANGE(""https://docs.google.com/spreadsheets/d/1SX6NBoVAgQJ6U1MVXOaj8PK2l7WJ3RER9xtqwdhxkhw/edit?usp=sharing"",""เพชรบุรี!I345"")"),50.0)</f>
        <v>50</v>
      </c>
      <c r="J450" s="223">
        <f>IFERROR(__xludf.DUMMYFUNCTION("IMPORTRANGE(""https://docs.google.com/spreadsheets/d/1SX6NBoVAgQJ6U1MVXOaj8PK2l7WJ3RER9xtqwdhxkhw/edit?usp=sharing"",""เพชรบุรี!J345"")"),0.0)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IFERROR(__xludf.DUMMYFUNCTION("IMPORTRANGE(""https://docs.google.com/spreadsheets/d/1SX6NBoVAgQJ6U1MVXOaj8PK2l7WJ3RER9xtqwdhxkhw/edit?usp=sharing"",""เพชรบุรี!I346"")"),0.0)</f>
        <v>0</v>
      </c>
      <c r="J451" s="222">
        <f>IFERROR(__xludf.DUMMYFUNCTION("IMPORTRANGE(""https://docs.google.com/spreadsheets/d/1SX6NBoVAgQJ6U1MVXOaj8PK2l7WJ3RER9xtqwdhxkhw/edit?usp=sharing"",""เพชรบุรี!J346"")"),0.0)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IFERROR(__xludf.DUMMYFUNCTION("IMPORTRANGE(""https://docs.google.com/spreadsheets/d/1SX6NBoVAgQJ6U1MVXOaj8PK2l7WJ3RER9xtqwdhxkhw/edit?usp=sharing"",""เพชรบุรี!I347"")"),0.0)</f>
        <v>0</v>
      </c>
      <c r="J452" s="222">
        <f>IFERROR(__xludf.DUMMYFUNCTION("IMPORTRANGE(""https://docs.google.com/spreadsheets/d/1SX6NBoVAgQJ6U1MVXOaj8PK2l7WJ3RER9xtqwdhxkhw/edit?usp=sharing"",""เพชรบุรี!J347"")"),0.0)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IFERROR(__xludf.DUMMYFUNCTION("IMPORTRANGE(""https://docs.google.com/spreadsheets/d/1SX6NBoVAgQJ6U1MVXOaj8PK2l7WJ3RER9xtqwdhxkhw/edit?usp=sharing"",""เพชรบุรี!J348"")"),0.0)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IFERROR(__xludf.DUMMYFUNCTION("IMPORTRANGE(""https://docs.google.com/spreadsheets/d/1SX6NBoVAgQJ6U1MVXOaj8PK2l7WJ3RER9xtqwdhxkhw/edit?usp=sharing"",""เพชรบุรี!J349"")"),0.0)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IFERROR(__xludf.DUMMYFUNCTION("IMPORTRANGE(""https://docs.google.com/spreadsheets/d/1SX6NBoVAgQJ6U1MVXOaj8PK2l7WJ3RER9xtqwdhxkhw/edit?usp=sharing"",""เพชรบุรี!I350"")"),2218.0)</f>
        <v>2218</v>
      </c>
      <c r="J455" s="404">
        <f>IFERROR(__xludf.DUMMYFUNCTION("IMPORTRANGE(""https://docs.google.com/spreadsheets/d/1SX6NBoVAgQJ6U1MVXOaj8PK2l7WJ3RER9xtqwdhxkhw/edit?usp=sharing"",""เพชรบุรี!J350"")"),2359.0)</f>
        <v>2359</v>
      </c>
      <c r="K455" s="405">
        <f>IF(I455&gt;0,J455*100/I455,0)</f>
        <v>106.3570784</v>
      </c>
      <c r="L455" s="406">
        <f>IFERROR(__xludf.DUMMYFUNCTION("IMPORTRANGE(""https://docs.google.com/spreadsheets/d/1SX6NBoVAgQJ6U1MVXOaj8PK2l7WJ3RER9xtqwdhxkhw/edit?usp=sharing"",""เพชรบุรี!L350"")"),95347.0)</f>
        <v>95347</v>
      </c>
      <c r="M455" s="406"/>
      <c r="N455" s="406">
        <f>IFERROR(__xludf.DUMMYFUNCTION("IMPORTRANGE(""https://docs.google.com/spreadsheets/d/1SX6NBoVAgQJ6U1MVXOaj8PK2l7WJ3RER9xtqwdhxkhw/edit?usp=sharing"",""เพชรบุรี!M350"")"),0.0)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IFERROR(__xludf.DUMMYFUNCTION("IMPORTRANGE(""https://docs.google.com/spreadsheets/d/1SX6NBoVAgQJ6U1MVXOaj8PK2l7WJ3RER9xtqwdhxkhw/edit?usp=sharing"",""เพชรบุรี!L351"")"),0.0)</f>
        <v>0</v>
      </c>
      <c r="M456" s="197"/>
      <c r="N456" s="203">
        <f>IFERROR(__xludf.DUMMYFUNCTION("IMPORTRANGE(""https://docs.google.com/spreadsheets/d/1SX6NBoVAgQJ6U1MVXOaj8PK2l7WJ3RER9xtqwdhxkhw/edit?usp=sharing"",""เพชรบุรี!M351"")"),0.0)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IFERROR(__xludf.DUMMYFUNCTION("IMPORTRANGE(""https://docs.google.com/spreadsheets/d/1SX6NBoVAgQJ6U1MVXOaj8PK2l7WJ3RER9xtqwdhxkhw/edit?usp=sharing"",""เพชรบุรี!L352"")"),95347.0)</f>
        <v>95347</v>
      </c>
      <c r="M457" s="198"/>
      <c r="N457" s="203">
        <f>IFERROR(__xludf.DUMMYFUNCTION("IMPORTRANGE(""https://docs.google.com/spreadsheets/d/1SX6NBoVAgQJ6U1MVXOaj8PK2l7WJ3RER9xtqwdhxkhw/edit?usp=sharing"",""เพชรบุรี!M352"")"),0.0)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IFERROR(__xludf.DUMMYFUNCTION("IMPORTRANGE(""https://docs.google.com/spreadsheets/d/1SX6NBoVAgQJ6U1MVXOaj8PK2l7WJ3RER9xtqwdhxkhw/edit?usp=sharing"",""เพชรบุรี!L353"")"),0.0)</f>
        <v>0</v>
      </c>
      <c r="M458" s="203"/>
      <c r="N458" s="203">
        <f>IFERROR(__xludf.DUMMYFUNCTION("IMPORTRANGE(""https://docs.google.com/spreadsheets/d/1SX6NBoVAgQJ6U1MVXOaj8PK2l7WJ3RER9xtqwdhxkhw/edit?usp=sharing"",""เพชรบุรี!M353"")"),0.0)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IFERROR(__xludf.DUMMYFUNCTION("IMPORTRANGE(""https://docs.google.com/spreadsheets/d/1SX6NBoVAgQJ6U1MVXOaj8PK2l7WJ3RER9xtqwdhxkhw/edit?usp=sharing"",""เพชรบุรี!L354"")"),95347.0)</f>
        <v>95347</v>
      </c>
      <c r="M459" s="203"/>
      <c r="N459" s="203">
        <f>IFERROR(__xludf.DUMMYFUNCTION("IMPORTRANGE(""https://docs.google.com/spreadsheets/d/1SX6NBoVAgQJ6U1MVXOaj8PK2l7WJ3RER9xtqwdhxkhw/edit?usp=sharing"",""เพชรบุรี!M354"")"),0.0)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IFERROR(__xludf.DUMMYFUNCTION("IMPORTRANGE(""https://docs.google.com/spreadsheets/d/1SX6NBoVAgQJ6U1MVXOaj8PK2l7WJ3RER9xtqwdhxkhw/edit?usp=sharing"",""เพชรบุรี!M355"")"),0.0)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IFERROR(__xludf.DUMMYFUNCTION("IMPORTRANGE(""https://docs.google.com/spreadsheets/d/1SX6NBoVAgQJ6U1MVXOaj8PK2l7WJ3RER9xtqwdhxkhw/edit?usp=sharing"",""เพชรบุรี!M356"")"),0.0)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IFERROR(__xludf.DUMMYFUNCTION("IMPORTRANGE(""https://docs.google.com/spreadsheets/d/1SX6NBoVAgQJ6U1MVXOaj8PK2l7WJ3RER9xtqwdhxkhw/edit?usp=sharing"",""เพชรบุรี!M357"")"),0.0)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IFERROR(__xludf.DUMMYFUNCTION("IMPORTRANGE(""https://docs.google.com/spreadsheets/d/1SX6NBoVAgQJ6U1MVXOaj8PK2l7WJ3RER9xtqwdhxkhw/edit?usp=sharing"",""เพชรบุรี!M358"")"),0.0)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IFERROR(__xludf.DUMMYFUNCTION("IMPORTRANGE(""https://docs.google.com/spreadsheets/d/1SX6NBoVAgQJ6U1MVXOaj8PK2l7WJ3RER9xtqwdhxkhw/edit?usp=sharing"",""เพชรบุรี!I359"")"),2218.0)</f>
        <v>2218</v>
      </c>
      <c r="J464" s="301">
        <f>IFERROR(__xludf.DUMMYFUNCTION("IMPORTRANGE(""https://docs.google.com/spreadsheets/d/1SX6NBoVAgQJ6U1MVXOaj8PK2l7WJ3RER9xtqwdhxkhw/edit?usp=sharing"",""เพชรบุรี!J359"")"),2359.0)</f>
        <v>2359</v>
      </c>
      <c r="K464" s="302">
        <f t="shared" ref="K464:K515" si="118">IF(I464&gt;0,J464*100/I464,0)</f>
        <v>106.3570784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IFERROR(__xludf.DUMMYFUNCTION("IMPORTRANGE(""https://docs.google.com/spreadsheets/d/1SX6NBoVAgQJ6U1MVXOaj8PK2l7WJ3RER9xtqwdhxkhw/edit?usp=sharing"",""เพชรบุรี!I360"")"),2218.0)</f>
        <v>2218</v>
      </c>
      <c r="J465" s="453">
        <f>IFERROR(__xludf.DUMMYFUNCTION("IMPORTRANGE(""https://docs.google.com/spreadsheets/d/1SX6NBoVAgQJ6U1MVXOaj8PK2l7WJ3RER9xtqwdhxkhw/edit?usp=sharing"",""เพชรบุรี!J360"")"),0.0)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IFERROR(__xludf.DUMMYFUNCTION("IMPORTRANGE(""https://docs.google.com/spreadsheets/d/1SX6NBoVAgQJ6U1MVXOaj8PK2l7WJ3RER9xtqwdhxkhw/edit?usp=sharing"",""เพชรบุรี!I361"")"),311.0)</f>
        <v>311</v>
      </c>
      <c r="J466" s="453">
        <f>IFERROR(__xludf.DUMMYFUNCTION("IMPORTRANGE(""https://docs.google.com/spreadsheets/d/1SX6NBoVAgQJ6U1MVXOaj8PK2l7WJ3RER9xtqwdhxkhw/edit?usp=sharing"",""เพชรบุรี!J361"")"),0.0)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IFERROR(__xludf.DUMMYFUNCTION("IMPORTRANGE(""https://docs.google.com/spreadsheets/d/1SX6NBoVAgQJ6U1MVXOaj8PK2l7WJ3RER9xtqwdhxkhw/edit?usp=sharing"",""เพชรบุรี!I362"")"),0.0)</f>
        <v>0</v>
      </c>
      <c r="J467" s="223">
        <f>IFERROR(__xludf.DUMMYFUNCTION("IMPORTRANGE(""https://docs.google.com/spreadsheets/d/1SX6NBoVAgQJ6U1MVXOaj8PK2l7WJ3RER9xtqwdhxkhw/edit?usp=sharing"",""เพชรบุรี!J362"")"),0.0)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IFERROR(__xludf.DUMMYFUNCTION("IMPORTRANGE(""https://docs.google.com/spreadsheets/d/1SX6NBoVAgQJ6U1MVXOaj8PK2l7WJ3RER9xtqwdhxkhw/edit?usp=sharing"",""เพชรบุรี!I363"")"),0.0)</f>
        <v>0</v>
      </c>
      <c r="J468" s="223">
        <f>IFERROR(__xludf.DUMMYFUNCTION("IMPORTRANGE(""https://docs.google.com/spreadsheets/d/1SX6NBoVAgQJ6U1MVXOaj8PK2l7WJ3RER9xtqwdhxkhw/edit?usp=sharing"",""เพชรบุรี!J363"")"),0.0)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IFERROR(__xludf.DUMMYFUNCTION("IMPORTRANGE(""https://docs.google.com/spreadsheets/d/1SX6NBoVAgQJ6U1MVXOaj8PK2l7WJ3RER9xtqwdhxkhw/edit?usp=sharing"",""เพชรบุรี!I364"")"),0.0)</f>
        <v>0</v>
      </c>
      <c r="J469" s="223">
        <f>IFERROR(__xludf.DUMMYFUNCTION("IMPORTRANGE(""https://docs.google.com/spreadsheets/d/1SX6NBoVAgQJ6U1MVXOaj8PK2l7WJ3RER9xtqwdhxkhw/edit?usp=sharing"",""เพชรบุรี!J364"")"),0.0)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IFERROR(__xludf.DUMMYFUNCTION("IMPORTRANGE(""https://docs.google.com/spreadsheets/d/1SX6NBoVAgQJ6U1MVXOaj8PK2l7WJ3RER9xtqwdhxkhw/edit?usp=sharing"",""เพชรบุรี!I365"")"),0.0)</f>
        <v>0</v>
      </c>
      <c r="J470" s="223">
        <f>IFERROR(__xludf.DUMMYFUNCTION("IMPORTRANGE(""https://docs.google.com/spreadsheets/d/1SX6NBoVAgQJ6U1MVXOaj8PK2l7WJ3RER9xtqwdhxkhw/edit?usp=sharing"",""เพชรบุรี!J365"")"),0.0)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IFERROR(__xludf.DUMMYFUNCTION("IMPORTRANGE(""https://docs.google.com/spreadsheets/d/1SX6NBoVAgQJ6U1MVXOaj8PK2l7WJ3RER9xtqwdhxkhw/edit?usp=sharing"",""เพชรบุรี!I366"")"),0.0)</f>
        <v>0</v>
      </c>
      <c r="J471" s="223">
        <f>IFERROR(__xludf.DUMMYFUNCTION("IMPORTRANGE(""https://docs.google.com/spreadsheets/d/1SX6NBoVAgQJ6U1MVXOaj8PK2l7WJ3RER9xtqwdhxkhw/edit?usp=sharing"",""เพชรบุรี!J366"")"),0.0)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IFERROR(__xludf.DUMMYFUNCTION("IMPORTRANGE(""https://docs.google.com/spreadsheets/d/1SX6NBoVAgQJ6U1MVXOaj8PK2l7WJ3RER9xtqwdhxkhw/edit?usp=sharing"",""เพชรบุรี!I367"")"),0.0)</f>
        <v>0</v>
      </c>
      <c r="J472" s="223">
        <f>IFERROR(__xludf.DUMMYFUNCTION("IMPORTRANGE(""https://docs.google.com/spreadsheets/d/1SX6NBoVAgQJ6U1MVXOaj8PK2l7WJ3RER9xtqwdhxkhw/edit?usp=sharing"",""เพชรบุรี!J367"")"),0.0)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IFERROR(__xludf.DUMMYFUNCTION("IMPORTRANGE(""https://docs.google.com/spreadsheets/d/1SX6NBoVAgQJ6U1MVXOaj8PK2l7WJ3RER9xtqwdhxkhw/edit?usp=sharing"",""เพชรบุรี!I368"")"),2218.0)</f>
        <v>2218</v>
      </c>
      <c r="J473" s="453">
        <f>IFERROR(__xludf.DUMMYFUNCTION("IMPORTRANGE(""https://docs.google.com/spreadsheets/d/1SX6NBoVAgQJ6U1MVXOaj8PK2l7WJ3RER9xtqwdhxkhw/edit?usp=sharing"",""เพชรบุรี!J368"")"),0.0)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IFERROR(__xludf.DUMMYFUNCTION("IMPORTRANGE(""https://docs.google.com/spreadsheets/d/1SX6NBoVAgQJ6U1MVXOaj8PK2l7WJ3RER9xtqwdhxkhw/edit?usp=sharing"",""เพชรบุรี!I369"")"),311.0)</f>
        <v>311</v>
      </c>
      <c r="J474" s="453">
        <f>IFERROR(__xludf.DUMMYFUNCTION("IMPORTRANGE(""https://docs.google.com/spreadsheets/d/1SX6NBoVAgQJ6U1MVXOaj8PK2l7WJ3RER9xtqwdhxkhw/edit?usp=sharing"",""เพชรบุรี!J369"")"),0.0)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IFERROR(__xludf.DUMMYFUNCTION("IMPORTRANGE(""https://docs.google.com/spreadsheets/d/1SX6NBoVAgQJ6U1MVXOaj8PK2l7WJ3RER9xtqwdhxkhw/edit?usp=sharing"",""เพชรบุรี!I370"")"),0.0)</f>
        <v>0</v>
      </c>
      <c r="J475" s="223">
        <f>IFERROR(__xludf.DUMMYFUNCTION("IMPORTRANGE(""https://docs.google.com/spreadsheets/d/1SX6NBoVAgQJ6U1MVXOaj8PK2l7WJ3RER9xtqwdhxkhw/edit?usp=sharing"",""เพชรบุรี!J370"")"),0.0)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IFERROR(__xludf.DUMMYFUNCTION("IMPORTRANGE(""https://docs.google.com/spreadsheets/d/1SX6NBoVAgQJ6U1MVXOaj8PK2l7WJ3RER9xtqwdhxkhw/edit?usp=sharing"",""เพชรบุรี!I371"")"),0.0)</f>
        <v>0</v>
      </c>
      <c r="J476" s="223">
        <f>IFERROR(__xludf.DUMMYFUNCTION("IMPORTRANGE(""https://docs.google.com/spreadsheets/d/1SX6NBoVAgQJ6U1MVXOaj8PK2l7WJ3RER9xtqwdhxkhw/edit?usp=sharing"",""เพชรบุรี!J371"")"),0.0)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IFERROR(__xludf.DUMMYFUNCTION("IMPORTRANGE(""https://docs.google.com/spreadsheets/d/1SX6NBoVAgQJ6U1MVXOaj8PK2l7WJ3RER9xtqwdhxkhw/edit?usp=sharing"",""เพชรบุรี!I372"")"),0.0)</f>
        <v>0</v>
      </c>
      <c r="J477" s="223">
        <f>IFERROR(__xludf.DUMMYFUNCTION("IMPORTRANGE(""https://docs.google.com/spreadsheets/d/1SX6NBoVAgQJ6U1MVXOaj8PK2l7WJ3RER9xtqwdhxkhw/edit?usp=sharing"",""เพชรบุรี!J372"")"),0.0)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IFERROR(__xludf.DUMMYFUNCTION("IMPORTRANGE(""https://docs.google.com/spreadsheets/d/1SX6NBoVAgQJ6U1MVXOaj8PK2l7WJ3RER9xtqwdhxkhw/edit?usp=sharing"",""เพชรบุรี!I373"")"),0.0)</f>
        <v>0</v>
      </c>
      <c r="J478" s="223">
        <f>IFERROR(__xludf.DUMMYFUNCTION("IMPORTRANGE(""https://docs.google.com/spreadsheets/d/1SX6NBoVAgQJ6U1MVXOaj8PK2l7WJ3RER9xtqwdhxkhw/edit?usp=sharing"",""เพชรบุรี!J373"")"),0.0)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IFERROR(__xludf.DUMMYFUNCTION("IMPORTRANGE(""https://docs.google.com/spreadsheets/d/1SX6NBoVAgQJ6U1MVXOaj8PK2l7WJ3RER9xtqwdhxkhw/edit?usp=sharing"",""เพชรบุรี!I374"")"),0.0)</f>
        <v>0</v>
      </c>
      <c r="J479" s="223">
        <f>IFERROR(__xludf.DUMMYFUNCTION("IMPORTRANGE(""https://docs.google.com/spreadsheets/d/1SX6NBoVAgQJ6U1MVXOaj8PK2l7WJ3RER9xtqwdhxkhw/edit?usp=sharing"",""เพชรบุรี!J374"")"),0.0)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IFERROR(__xludf.DUMMYFUNCTION("IMPORTRANGE(""https://docs.google.com/spreadsheets/d/1SX6NBoVAgQJ6U1MVXOaj8PK2l7WJ3RER9xtqwdhxkhw/edit?usp=sharing"",""เพชรบุรี!I375"")"),0.0)</f>
        <v>0</v>
      </c>
      <c r="J480" s="223">
        <f>IFERROR(__xludf.DUMMYFUNCTION("IMPORTRANGE(""https://docs.google.com/spreadsheets/d/1SX6NBoVAgQJ6U1MVXOaj8PK2l7WJ3RER9xtqwdhxkhw/edit?usp=sharing"",""เพชรบุรี!J375"")"),0.0)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IFERROR(__xludf.DUMMYFUNCTION("IMPORTRANGE(""https://docs.google.com/spreadsheets/d/1SX6NBoVAgQJ6U1MVXOaj8PK2l7WJ3RER9xtqwdhxkhw/edit?usp=sharing"",""เพชรบุรี!I376"")"),2218.0)</f>
        <v>2218</v>
      </c>
      <c r="J481" s="453">
        <f>IFERROR(__xludf.DUMMYFUNCTION("IMPORTRANGE(""https://docs.google.com/spreadsheets/d/1SX6NBoVAgQJ6U1MVXOaj8PK2l7WJ3RER9xtqwdhxkhw/edit?usp=sharing"",""เพชรบุรี!J376"")"),2359.0)</f>
        <v>2359</v>
      </c>
      <c r="K481" s="236">
        <f t="shared" si="118"/>
        <v>106.3570784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IFERROR(__xludf.DUMMYFUNCTION("IMPORTRANGE(""https://docs.google.com/spreadsheets/d/1SX6NBoVAgQJ6U1MVXOaj8PK2l7WJ3RER9xtqwdhxkhw/edit?usp=sharing"",""เพชรบุรี!I377"")"),311.0)</f>
        <v>311</v>
      </c>
      <c r="J482" s="453">
        <f>IFERROR(__xludf.DUMMYFUNCTION("IMPORTRANGE(""https://docs.google.com/spreadsheets/d/1SX6NBoVAgQJ6U1MVXOaj8PK2l7WJ3RER9xtqwdhxkhw/edit?usp=sharing"",""เพชรบุรี!J377"")"),311.0)</f>
        <v>311</v>
      </c>
      <c r="K482" s="196">
        <f t="shared" si="118"/>
        <v>100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IFERROR(__xludf.DUMMYFUNCTION("IMPORTRANGE(""https://docs.google.com/spreadsheets/d/1SX6NBoVAgQJ6U1MVXOaj8PK2l7WJ3RER9xtqwdhxkhw/edit?usp=sharing"",""เพชรบุรี!I378"")"),0.0)</f>
        <v>0</v>
      </c>
      <c r="J483" s="223">
        <f>IFERROR(__xludf.DUMMYFUNCTION("IMPORTRANGE(""https://docs.google.com/spreadsheets/d/1SX6NBoVAgQJ6U1MVXOaj8PK2l7WJ3RER9xtqwdhxkhw/edit?usp=sharing"",""เพชรบุรี!J378"")"),2056.0)</f>
        <v>2056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IFERROR(__xludf.DUMMYFUNCTION("IMPORTRANGE(""https://docs.google.com/spreadsheets/d/1SX6NBoVAgQJ6U1MVXOaj8PK2l7WJ3RER9xtqwdhxkhw/edit?usp=sharing"",""เพชรบุรี!I379"")"),0.0)</f>
        <v>0</v>
      </c>
      <c r="J484" s="223">
        <f>IFERROR(__xludf.DUMMYFUNCTION("IMPORTRANGE(""https://docs.google.com/spreadsheets/d/1SX6NBoVAgQJ6U1MVXOaj8PK2l7WJ3RER9xtqwdhxkhw/edit?usp=sharing"",""เพชรบุรี!J379"")"),273.0)</f>
        <v>273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IFERROR(__xludf.DUMMYFUNCTION("IMPORTRANGE(""https://docs.google.com/spreadsheets/d/1SX6NBoVAgQJ6U1MVXOaj8PK2l7WJ3RER9xtqwdhxkhw/edit?usp=sharing"",""เพชรบุรี!I380"")"),0.0)</f>
        <v>0</v>
      </c>
      <c r="J485" s="223">
        <f>IFERROR(__xludf.DUMMYFUNCTION("IMPORTRANGE(""https://docs.google.com/spreadsheets/d/1SX6NBoVAgQJ6U1MVXOaj8PK2l7WJ3RER9xtqwdhxkhw/edit?usp=sharing"",""เพชรบุรี!J380"")"),301.0)</f>
        <v>301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IFERROR(__xludf.DUMMYFUNCTION("IMPORTRANGE(""https://docs.google.com/spreadsheets/d/1SX6NBoVAgQJ6U1MVXOaj8PK2l7WJ3RER9xtqwdhxkhw/edit?usp=sharing"",""เพชรบุรี!I381"")"),0.0)</f>
        <v>0</v>
      </c>
      <c r="J486" s="223">
        <f>IFERROR(__xludf.DUMMYFUNCTION("IMPORTRANGE(""https://docs.google.com/spreadsheets/d/1SX6NBoVAgQJ6U1MVXOaj8PK2l7WJ3RER9xtqwdhxkhw/edit?usp=sharing"",""เพชรบุรี!J381"")"),37.0)</f>
        <v>37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IFERROR(__xludf.DUMMYFUNCTION("IMPORTRANGE(""https://docs.google.com/spreadsheets/d/1SX6NBoVAgQJ6U1MVXOaj8PK2l7WJ3RER9xtqwdhxkhw/edit?usp=sharing"",""เพชรบุรี!I382"")"),0.0)</f>
        <v>0</v>
      </c>
      <c r="J487" s="453">
        <f>IFERROR(__xludf.DUMMYFUNCTION("IMPORTRANGE(""https://docs.google.com/spreadsheets/d/1SX6NBoVAgQJ6U1MVXOaj8PK2l7WJ3RER9xtqwdhxkhw/edit?usp=sharing"",""เพชรบุรี!J382"")"),2.0)</f>
        <v>2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IFERROR(__xludf.DUMMYFUNCTION("IMPORTRANGE(""https://docs.google.com/spreadsheets/d/1SX6NBoVAgQJ6U1MVXOaj8PK2l7WJ3RER9xtqwdhxkhw/edit?usp=sharing"",""เพชรบุรี!I383"")"),0.0)</f>
        <v>0</v>
      </c>
      <c r="J488" s="453">
        <f>IFERROR(__xludf.DUMMYFUNCTION("IMPORTRANGE(""https://docs.google.com/spreadsheets/d/1SX6NBoVAgQJ6U1MVXOaj8PK2l7WJ3RER9xtqwdhxkhw/edit?usp=sharing"",""เพชรบุรี!J383"")"),1.0)</f>
        <v>1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IFERROR(__xludf.DUMMYFUNCTION("IMPORTRANGE(""https://docs.google.com/spreadsheets/d/1SX6NBoVAgQJ6U1MVXOaj8PK2l7WJ3RER9xtqwdhxkhw/edit?usp=sharing"",""เพชรบุรี!I384"")"),0.0)</f>
        <v>0</v>
      </c>
      <c r="J489" s="223">
        <f>IFERROR(__xludf.DUMMYFUNCTION("IMPORTRANGE(""https://docs.google.com/spreadsheets/d/1SX6NBoVAgQJ6U1MVXOaj8PK2l7WJ3RER9xtqwdhxkhw/edit?usp=sharing"",""เพชรบุรี!J384"")"),2.0)</f>
        <v>2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IFERROR(__xludf.DUMMYFUNCTION("IMPORTRANGE(""https://docs.google.com/spreadsheets/d/1SX6NBoVAgQJ6U1MVXOaj8PK2l7WJ3RER9xtqwdhxkhw/edit?usp=sharing"",""เพชรบุรี!I385"")"),0.0)</f>
        <v>0</v>
      </c>
      <c r="J490" s="223">
        <f>IFERROR(__xludf.DUMMYFUNCTION("IMPORTRANGE(""https://docs.google.com/spreadsheets/d/1SX6NBoVAgQJ6U1MVXOaj8PK2l7WJ3RER9xtqwdhxkhw/edit?usp=sharing"",""เพชรบุรี!J385"")"),1.0)</f>
        <v>1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IFERROR(__xludf.DUMMYFUNCTION("IMPORTRANGE(""https://docs.google.com/spreadsheets/d/1SX6NBoVAgQJ6U1MVXOaj8PK2l7WJ3RER9xtqwdhxkhw/edit?usp=sharing"",""เพชรบุรี!I386"")"),0.0)</f>
        <v>0</v>
      </c>
      <c r="J491" s="223">
        <f>IFERROR(__xludf.DUMMYFUNCTION("IMPORTRANGE(""https://docs.google.com/spreadsheets/d/1SX6NBoVAgQJ6U1MVXOaj8PK2l7WJ3RER9xtqwdhxkhw/edit?usp=sharing"",""เพชรบุรี!J386"")"),0.0)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IFERROR(__xludf.DUMMYFUNCTION("IMPORTRANGE(""https://docs.google.com/spreadsheets/d/1SX6NBoVAgQJ6U1MVXOaj8PK2l7WJ3RER9xtqwdhxkhw/edit?usp=sharing"",""เพชรบุรี!I387"")"),0.0)</f>
        <v>0</v>
      </c>
      <c r="J492" s="223">
        <f>IFERROR(__xludf.DUMMYFUNCTION("IMPORTRANGE(""https://docs.google.com/spreadsheets/d/1SX6NBoVAgQJ6U1MVXOaj8PK2l7WJ3RER9xtqwdhxkhw/edit?usp=sharing"",""เพชรบุรี!J387"")"),0.0)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IFERROR(__xludf.DUMMYFUNCTION("IMPORTRANGE(""https://docs.google.com/spreadsheets/d/1SX6NBoVAgQJ6U1MVXOaj8PK2l7WJ3RER9xtqwdhxkhw/edit?usp=sharing"",""เพชรบุรี!I388"")"),0.0)</f>
        <v>0</v>
      </c>
      <c r="J493" s="223">
        <f>IFERROR(__xludf.DUMMYFUNCTION("IMPORTRANGE(""https://docs.google.com/spreadsheets/d/1SX6NBoVAgQJ6U1MVXOaj8PK2l7WJ3RER9xtqwdhxkhw/edit?usp=sharing"",""เพชรบุรี!J388"")"),0.0)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IFERROR(__xludf.DUMMYFUNCTION("IMPORTRANGE(""https://docs.google.com/spreadsheets/d/1SX6NBoVAgQJ6U1MVXOaj8PK2l7WJ3RER9xtqwdhxkhw/edit?usp=sharing"",""เพชรบุรี!I389"")"),0.0)</f>
        <v>0</v>
      </c>
      <c r="J494" s="469">
        <f>IFERROR(__xludf.DUMMYFUNCTION("IMPORTRANGE(""https://docs.google.com/spreadsheets/d/1SX6NBoVAgQJ6U1MVXOaj8PK2l7WJ3RER9xtqwdhxkhw/edit?usp=sharing"",""เพชรบุรี!J389"")"),0.0)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IFERROR(__xludf.DUMMYFUNCTION("IMPORTRANGE(""https://docs.google.com/spreadsheets/d/1SX6NBoVAgQJ6U1MVXOaj8PK2l7WJ3RER9xtqwdhxkhw/edit?usp=sharing"",""เพชรบุรี!I390"")"),0.0)</f>
        <v>0</v>
      </c>
      <c r="J495" s="469">
        <f>IFERROR(__xludf.DUMMYFUNCTION("IMPORTRANGE(""https://docs.google.com/spreadsheets/d/1SX6NBoVAgQJ6U1MVXOaj8PK2l7WJ3RER9xtqwdhxkhw/edit?usp=sharing"",""เพชรบุรี!J390"")"),0.0)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IFERROR(__xludf.DUMMYFUNCTION("IMPORTRANGE(""https://docs.google.com/spreadsheets/d/1SX6NBoVAgQJ6U1MVXOaj8PK2l7WJ3RER9xtqwdhxkhw/edit?usp=sharing"",""เพชรบุรี!I391"")"),0.0)</f>
        <v>0</v>
      </c>
      <c r="J496" s="469">
        <f>IFERROR(__xludf.DUMMYFUNCTION("IMPORTRANGE(""https://docs.google.com/spreadsheets/d/1SX6NBoVAgQJ6U1MVXOaj8PK2l7WJ3RER9xtqwdhxkhw/edit?usp=sharing"",""เพชรบุรี!J391"")"),0.0)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IFERROR(__xludf.DUMMYFUNCTION("IMPORTRANGE(""https://docs.google.com/spreadsheets/d/1SX6NBoVAgQJ6U1MVXOaj8PK2l7WJ3RER9xtqwdhxkhw/edit?usp=sharing"",""เพชรบุรี!I392"")"),500.0)</f>
        <v>500</v>
      </c>
      <c r="J497" s="476">
        <f>IFERROR(__xludf.DUMMYFUNCTION("IMPORTRANGE(""https://docs.google.com/spreadsheets/d/1SX6NBoVAgQJ6U1MVXOaj8PK2l7WJ3RER9xtqwdhxkhw/edit?usp=sharing"",""เพชรบุรี!J392"")"),504.0)</f>
        <v>504</v>
      </c>
      <c r="K497" s="477">
        <f t="shared" si="118"/>
        <v>100.8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IFERROR(__xludf.DUMMYFUNCTION("IMPORTRANGE(""https://docs.google.com/spreadsheets/d/1SX6NBoVAgQJ6U1MVXOaj8PK2l7WJ3RER9xtqwdhxkhw/edit?usp=sharing"",""เพชรบุรี!I393"")"),500.0)</f>
        <v>500</v>
      </c>
      <c r="J498" s="453">
        <f>IFERROR(__xludf.DUMMYFUNCTION("IMPORTRANGE(""https://docs.google.com/spreadsheets/d/1SX6NBoVAgQJ6U1MVXOaj8PK2l7WJ3RER9xtqwdhxkhw/edit?usp=sharing"",""เพชรบุรี!J393"")"),504.0)</f>
        <v>504</v>
      </c>
      <c r="K498" s="196">
        <f t="shared" si="118"/>
        <v>100.8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IFERROR(__xludf.DUMMYFUNCTION("IMPORTRANGE(""https://docs.google.com/spreadsheets/d/1SX6NBoVAgQJ6U1MVXOaj8PK2l7WJ3RER9xtqwdhxkhw/edit?usp=sharing"",""เพชรบุรี!I394"")"),93.0)</f>
        <v>93</v>
      </c>
      <c r="J499" s="453">
        <f>IFERROR(__xludf.DUMMYFUNCTION("IMPORTRANGE(""https://docs.google.com/spreadsheets/d/1SX6NBoVAgQJ6U1MVXOaj8PK2l7WJ3RER9xtqwdhxkhw/edit?usp=sharing"",""เพชรบุรี!J394"")"),101.0)</f>
        <v>101</v>
      </c>
      <c r="K499" s="236">
        <f t="shared" si="118"/>
        <v>108.6021505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IFERROR(__xludf.DUMMYFUNCTION("IMPORTRANGE(""https://docs.google.com/spreadsheets/d/1SX6NBoVAgQJ6U1MVXOaj8PK2l7WJ3RER9xtqwdhxkhw/edit?usp=sharing"",""เพชรบุรี!I395"")"),0.0)</f>
        <v>0</v>
      </c>
      <c r="J500" s="195">
        <f>IFERROR(__xludf.DUMMYFUNCTION("IMPORTRANGE(""https://docs.google.com/spreadsheets/d/1SX6NBoVAgQJ6U1MVXOaj8PK2l7WJ3RER9xtqwdhxkhw/edit?usp=sharing"",""เพชรบุรี!J395"")"),0.0)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IFERROR(__xludf.DUMMYFUNCTION("IMPORTRANGE(""https://docs.google.com/spreadsheets/d/1SX6NBoVAgQJ6U1MVXOaj8PK2l7WJ3RER9xtqwdhxkhw/edit?usp=sharing"",""เพชรบุรี!I396"")"),0.0)</f>
        <v>0</v>
      </c>
      <c r="J501" s="195">
        <f>IFERROR(__xludf.DUMMYFUNCTION("IMPORTRANGE(""https://docs.google.com/spreadsheets/d/1SX6NBoVAgQJ6U1MVXOaj8PK2l7WJ3RER9xtqwdhxkhw/edit?usp=sharing"",""เพชรบุรี!J396"")"),0.0)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IFERROR(__xludf.DUMMYFUNCTION("IMPORTRANGE(""https://docs.google.com/spreadsheets/d/1SX6NBoVAgQJ6U1MVXOaj8PK2l7WJ3RER9xtqwdhxkhw/edit?usp=sharing"",""เพชรบุรี!I397"")"),0.0)</f>
        <v>0</v>
      </c>
      <c r="J502" s="223">
        <f>IFERROR(__xludf.DUMMYFUNCTION("IMPORTRANGE(""https://docs.google.com/spreadsheets/d/1SX6NBoVAgQJ6U1MVXOaj8PK2l7WJ3RER9xtqwdhxkhw/edit?usp=sharing"",""เพชรบุรี!J397"")"),0.0)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IFERROR(__xludf.DUMMYFUNCTION("IMPORTRANGE(""https://docs.google.com/spreadsheets/d/1SX6NBoVAgQJ6U1MVXOaj8PK2l7WJ3RER9xtqwdhxkhw/edit?usp=sharing"",""เพชรบุรี!I398"")"),0.0)</f>
        <v>0</v>
      </c>
      <c r="J503" s="232">
        <f>IFERROR(__xludf.DUMMYFUNCTION("IMPORTRANGE(""https://docs.google.com/spreadsheets/d/1SX6NBoVAgQJ6U1MVXOaj8PK2l7WJ3RER9xtqwdhxkhw/edit?usp=sharing"",""เพชรบุรี!J398"")"),0.0)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IFERROR(__xludf.DUMMYFUNCTION("IMPORTRANGE(""https://docs.google.com/spreadsheets/d/1SX6NBoVAgQJ6U1MVXOaj8PK2l7WJ3RER9xtqwdhxkhw/edit?usp=sharing"",""เพชรบุรี!I399"")"),0.0)</f>
        <v>0</v>
      </c>
      <c r="J504" s="223">
        <f>IFERROR(__xludf.DUMMYFUNCTION("IMPORTRANGE(""https://docs.google.com/spreadsheets/d/1SX6NBoVAgQJ6U1MVXOaj8PK2l7WJ3RER9xtqwdhxkhw/edit?usp=sharing"",""เพชรบุรี!J399"")"),0.0)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IFERROR(__xludf.DUMMYFUNCTION("IMPORTRANGE(""https://docs.google.com/spreadsheets/d/1SX6NBoVAgQJ6U1MVXOaj8PK2l7WJ3RER9xtqwdhxkhw/edit?usp=sharing"",""เพชรบุรี!I400"")"),0.0)</f>
        <v>0</v>
      </c>
      <c r="J505" s="232">
        <f>IFERROR(__xludf.DUMMYFUNCTION("IMPORTRANGE(""https://docs.google.com/spreadsheets/d/1SX6NBoVAgQJ6U1MVXOaj8PK2l7WJ3RER9xtqwdhxkhw/edit?usp=sharing"",""เพชรบุรี!J400"")"),0.0)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IFERROR(__xludf.DUMMYFUNCTION("IMPORTRANGE(""https://docs.google.com/spreadsheets/d/1SX6NBoVAgQJ6U1MVXOaj8PK2l7WJ3RER9xtqwdhxkhw/edit?usp=sharing"",""เพชรบุรี!I401"")"),0.0)</f>
        <v>0</v>
      </c>
      <c r="J506" s="223">
        <f>IFERROR(__xludf.DUMMYFUNCTION("IMPORTRANGE(""https://docs.google.com/spreadsheets/d/1SX6NBoVAgQJ6U1MVXOaj8PK2l7WJ3RER9xtqwdhxkhw/edit?usp=sharing"",""เพชรบุรี!J401"")"),0.0)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IFERROR(__xludf.DUMMYFUNCTION("IMPORTRANGE(""https://docs.google.com/spreadsheets/d/1SX6NBoVAgQJ6U1MVXOaj8PK2l7WJ3RER9xtqwdhxkhw/edit?usp=sharing"",""เพชรบุรี!I402"")"),0.0)</f>
        <v>0</v>
      </c>
      <c r="J507" s="232">
        <f>IFERROR(__xludf.DUMMYFUNCTION("IMPORTRANGE(""https://docs.google.com/spreadsheets/d/1SX6NBoVAgQJ6U1MVXOaj8PK2l7WJ3RER9xtqwdhxkhw/edit?usp=sharing"",""เพชรบุรี!J402"")"),0.0)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IFERROR(__xludf.DUMMYFUNCTION("IMPORTRANGE(""https://docs.google.com/spreadsheets/d/1SX6NBoVAgQJ6U1MVXOaj8PK2l7WJ3RER9xtqwdhxkhw/edit?usp=sharing"",""เพชรบุรี!I403"")"),0.0)</f>
        <v>0</v>
      </c>
      <c r="J508" s="195">
        <f>IFERROR(__xludf.DUMMYFUNCTION("IMPORTRANGE(""https://docs.google.com/spreadsheets/d/1SX6NBoVAgQJ6U1MVXOaj8PK2l7WJ3RER9xtqwdhxkhw/edit?usp=sharing"",""เพชรบุรี!J403"")"),0.0)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IFERROR(__xludf.DUMMYFUNCTION("IMPORTRANGE(""https://docs.google.com/spreadsheets/d/1SX6NBoVAgQJ6U1MVXOaj8PK2l7WJ3RER9xtqwdhxkhw/edit?usp=sharing"",""เพชรบุรี!I404"")"),0.0)</f>
        <v>0</v>
      </c>
      <c r="J509" s="195">
        <f>IFERROR(__xludf.DUMMYFUNCTION("IMPORTRANGE(""https://docs.google.com/spreadsheets/d/1SX6NBoVAgQJ6U1MVXOaj8PK2l7WJ3RER9xtqwdhxkhw/edit?usp=sharing"",""เพชรบุรี!J404"")"),0.0)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IFERROR(__xludf.DUMMYFUNCTION("IMPORTRANGE(""https://docs.google.com/spreadsheets/d/1SX6NBoVAgQJ6U1MVXOaj8PK2l7WJ3RER9xtqwdhxkhw/edit?usp=sharing"",""เพชรบุรี!I405"")"),0.0)</f>
        <v>0</v>
      </c>
      <c r="J510" s="232">
        <f>IFERROR(__xludf.DUMMYFUNCTION("IMPORTRANGE(""https://docs.google.com/spreadsheets/d/1SX6NBoVAgQJ6U1MVXOaj8PK2l7WJ3RER9xtqwdhxkhw/edit?usp=sharing"",""เพชรบุรี!J405"")"),0.0)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IFERROR(__xludf.DUMMYFUNCTION("IMPORTRANGE(""https://docs.google.com/spreadsheets/d/1SX6NBoVAgQJ6U1MVXOaj8PK2l7WJ3RER9xtqwdhxkhw/edit?usp=sharing"",""เพชรบุรี!I406"")"),0.0)</f>
        <v>0</v>
      </c>
      <c r="J511" s="232">
        <f>IFERROR(__xludf.DUMMYFUNCTION("IMPORTRANGE(""https://docs.google.com/spreadsheets/d/1SX6NBoVAgQJ6U1MVXOaj8PK2l7WJ3RER9xtqwdhxkhw/edit?usp=sharing"",""เพชรบุรี!J406"")"),0.0)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IFERROR(__xludf.DUMMYFUNCTION("IMPORTRANGE(""https://docs.google.com/spreadsheets/d/1SX6NBoVAgQJ6U1MVXOaj8PK2l7WJ3RER9xtqwdhxkhw/edit?usp=sharing"",""เพชรบุรี!I407"")"),0.0)</f>
        <v>0</v>
      </c>
      <c r="J512" s="232">
        <f>IFERROR(__xludf.DUMMYFUNCTION("IMPORTRANGE(""https://docs.google.com/spreadsheets/d/1SX6NBoVAgQJ6U1MVXOaj8PK2l7WJ3RER9xtqwdhxkhw/edit?usp=sharing"",""เพชรบุรี!J407"")"),0.0)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IFERROR(__xludf.DUMMYFUNCTION("IMPORTRANGE(""https://docs.google.com/spreadsheets/d/1SX6NBoVAgQJ6U1MVXOaj8PK2l7WJ3RER9xtqwdhxkhw/edit?usp=sharing"",""เพชรบุรี!I408"")"),0.0)</f>
        <v>0</v>
      </c>
      <c r="J513" s="232">
        <f>IFERROR(__xludf.DUMMYFUNCTION("IMPORTRANGE(""https://docs.google.com/spreadsheets/d/1SX6NBoVAgQJ6U1MVXOaj8PK2l7WJ3RER9xtqwdhxkhw/edit?usp=sharing"",""เพชรบุรี!J408"")"),0.0)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IFERROR(__xludf.DUMMYFUNCTION("IMPORTRANGE(""https://docs.google.com/spreadsheets/d/1SX6NBoVAgQJ6U1MVXOaj8PK2l7WJ3RER9xtqwdhxkhw/edit?usp=sharing"",""เพชรบุรี!I409"")"),0.0)</f>
        <v>0</v>
      </c>
      <c r="J514" s="232">
        <f>IFERROR(__xludf.DUMMYFUNCTION("IMPORTRANGE(""https://docs.google.com/spreadsheets/d/1SX6NBoVAgQJ6U1MVXOaj8PK2l7WJ3RER9xtqwdhxkhw/edit?usp=sharing"",""เพชรบุรี!J409"")"),504.0)</f>
        <v>504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IFERROR(__xludf.DUMMYFUNCTION("IMPORTRANGE(""https://docs.google.com/spreadsheets/d/1SX6NBoVAgQJ6U1MVXOaj8PK2l7WJ3RER9xtqwdhxkhw/edit?usp=sharing"",""เพชรบุรี!I410"")"),0.0)</f>
        <v>0</v>
      </c>
      <c r="J515" s="232">
        <f>IFERROR(__xludf.DUMMYFUNCTION("IMPORTRANGE(""https://docs.google.com/spreadsheets/d/1SX6NBoVAgQJ6U1MVXOaj8PK2l7WJ3RER9xtqwdhxkhw/edit?usp=sharing"",""เพชรบุรี!J410"")"),101.0)</f>
        <v>101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IFERROR(__xludf.DUMMYFUNCTION("IMPORTRANGE(""https://docs.google.com/spreadsheets/d/1SX6NBoVAgQJ6U1MVXOaj8PK2l7WJ3RER9xtqwdhxkhw/edit?usp=sharing"",""เพชรบุรี!I411"")"),0.0)</f>
        <v>0</v>
      </c>
      <c r="J516" s="301">
        <f>IFERROR(__xludf.DUMMYFUNCTION("IMPORTRANGE(""https://docs.google.com/spreadsheets/d/1SX6NBoVAgQJ6U1MVXOaj8PK2l7WJ3RER9xtqwdhxkhw/edit?usp=sharing"",""เพชรบุรี!J411"")"),0.0)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IFERROR(__xludf.DUMMYFUNCTION("IMPORTRANGE(""https://docs.google.com/spreadsheets/d/1SX6NBoVAgQJ6U1MVXOaj8PK2l7WJ3RER9xtqwdhxkhw/edit?usp=sharing"",""เพชรบุรี!I412"")"),0.0)</f>
        <v>0</v>
      </c>
      <c r="J517" s="317">
        <f>IFERROR(__xludf.DUMMYFUNCTION("IMPORTRANGE(""https://docs.google.com/spreadsheets/d/1SX6NBoVAgQJ6U1MVXOaj8PK2l7WJ3RER9xtqwdhxkhw/edit?usp=sharing"",""เพชรบุรี!J412"")"),0.0)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IFERROR(__xludf.DUMMYFUNCTION("IMPORTRANGE(""https://docs.google.com/spreadsheets/d/1SX6NBoVAgQJ6U1MVXOaj8PK2l7WJ3RER9xtqwdhxkhw/edit?usp=sharing"",""เพชรบุรี!I413"")"),0.0)</f>
        <v>0</v>
      </c>
      <c r="J518" s="317">
        <f>IFERROR(__xludf.DUMMYFUNCTION("IMPORTRANGE(""https://docs.google.com/spreadsheets/d/1SX6NBoVAgQJ6U1MVXOaj8PK2l7WJ3RER9xtqwdhxkhw/edit?usp=sharing"",""เพชรบุรี!J413"")"),0.0)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IFERROR(__xludf.DUMMYFUNCTION("IMPORTRANGE(""https://docs.google.com/spreadsheets/d/1SX6NBoVAgQJ6U1MVXOaj8PK2l7WJ3RER9xtqwdhxkhw/edit?usp=sharing"",""เพชรบุรี!I414"")"),0.0)</f>
        <v>0</v>
      </c>
      <c r="J519" s="222">
        <f>IFERROR(__xludf.DUMMYFUNCTION("IMPORTRANGE(""https://docs.google.com/spreadsheets/d/1SX6NBoVAgQJ6U1MVXOaj8PK2l7WJ3RER9xtqwdhxkhw/edit?usp=sharing"",""เพชรบุรี!J414"")"),0.0)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IFERROR(__xludf.DUMMYFUNCTION("IMPORTRANGE(""https://docs.google.com/spreadsheets/d/1SX6NBoVAgQJ6U1MVXOaj8PK2l7WJ3RER9xtqwdhxkhw/edit?usp=sharing"",""เพชรบุรี!I415"")"),0.0)</f>
        <v>0</v>
      </c>
      <c r="J520" s="222">
        <f>IFERROR(__xludf.DUMMYFUNCTION("IMPORTRANGE(""https://docs.google.com/spreadsheets/d/1SX6NBoVAgQJ6U1MVXOaj8PK2l7WJ3RER9xtqwdhxkhw/edit?usp=sharing"",""เพชรบุรี!J415"")"),0.0)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IFERROR(__xludf.DUMMYFUNCTION("IMPORTRANGE(""https://docs.google.com/spreadsheets/d/1SX6NBoVAgQJ6U1MVXOaj8PK2l7WJ3RER9xtqwdhxkhw/edit?usp=sharing"",""เพชรบุรี!I416"")"),0.0)</f>
        <v>0</v>
      </c>
      <c r="J521" s="222">
        <f>IFERROR(__xludf.DUMMYFUNCTION("IMPORTRANGE(""https://docs.google.com/spreadsheets/d/1SX6NBoVAgQJ6U1MVXOaj8PK2l7WJ3RER9xtqwdhxkhw/edit?usp=sharing"",""เพชรบุรี!J416"")"),0.0)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IFERROR(__xludf.DUMMYFUNCTION("IMPORTRANGE(""https://docs.google.com/spreadsheets/d/1SX6NBoVAgQJ6U1MVXOaj8PK2l7WJ3RER9xtqwdhxkhw/edit?usp=sharing"",""เพชรบุรี!I417"")"),0.0)</f>
        <v>0</v>
      </c>
      <c r="J522" s="222">
        <f>IFERROR(__xludf.DUMMYFUNCTION("IMPORTRANGE(""https://docs.google.com/spreadsheets/d/1SX6NBoVAgQJ6U1MVXOaj8PK2l7WJ3RER9xtqwdhxkhw/edit?usp=sharing"",""เพชรบุรี!J417"")"),0.0)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IFERROR(__xludf.DUMMYFUNCTION("IMPORTRANGE(""https://docs.google.com/spreadsheets/d/1SX6NBoVAgQJ6U1MVXOaj8PK2l7WJ3RER9xtqwdhxkhw/edit?usp=sharing"",""เพชรบุรี!I418"")"),0.0)</f>
        <v>0</v>
      </c>
      <c r="J523" s="222">
        <f>IFERROR(__xludf.DUMMYFUNCTION("IMPORTRANGE(""https://docs.google.com/spreadsheets/d/1SX6NBoVAgQJ6U1MVXOaj8PK2l7WJ3RER9xtqwdhxkhw/edit?usp=sharing"",""เพชรบุรี!J418"")"),0.0)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IFERROR(__xludf.DUMMYFUNCTION("IMPORTRANGE(""https://docs.google.com/spreadsheets/d/1SX6NBoVAgQJ6U1MVXOaj8PK2l7WJ3RER9xtqwdhxkhw/edit?usp=sharing"",""เพชรบุรี!I419"")"),0.0)</f>
        <v>0</v>
      </c>
      <c r="J524" s="222">
        <f>IFERROR(__xludf.DUMMYFUNCTION("IMPORTRANGE(""https://docs.google.com/spreadsheets/d/1SX6NBoVAgQJ6U1MVXOaj8PK2l7WJ3RER9xtqwdhxkhw/edit?usp=sharing"",""เพชรบุรี!J419"")"),0.0)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IFERROR(__xludf.DUMMYFUNCTION("IMPORTRANGE(""https://docs.google.com/spreadsheets/d/1SX6NBoVAgQJ6U1MVXOaj8PK2l7WJ3RER9xtqwdhxkhw/edit?usp=sharing"",""เพชรบุรี!I420"")"),0.0)</f>
        <v>0</v>
      </c>
      <c r="J525" s="317">
        <f>IFERROR(__xludf.DUMMYFUNCTION("IMPORTRANGE(""https://docs.google.com/spreadsheets/d/1SX6NBoVAgQJ6U1MVXOaj8PK2l7WJ3RER9xtqwdhxkhw/edit?usp=sharing"",""เพชรบุรี!J420"")"),0.0)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IFERROR(__xludf.DUMMYFUNCTION("IMPORTRANGE(""https://docs.google.com/spreadsheets/d/1SX6NBoVAgQJ6U1MVXOaj8PK2l7WJ3RER9xtqwdhxkhw/edit?usp=sharing"",""เพชรบุรี!I421"")"),0.0)</f>
        <v>0</v>
      </c>
      <c r="J526" s="317">
        <f>IFERROR(__xludf.DUMMYFUNCTION("IMPORTRANGE(""https://docs.google.com/spreadsheets/d/1SX6NBoVAgQJ6U1MVXOaj8PK2l7WJ3RER9xtqwdhxkhw/edit?usp=sharing"",""เพชรบุรี!J421"")"),0.0)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IFERROR(__xludf.DUMMYFUNCTION("IMPORTRANGE(""https://docs.google.com/spreadsheets/d/1SX6NBoVAgQJ6U1MVXOaj8PK2l7WJ3RER9xtqwdhxkhw/edit?usp=sharing"",""เพชรบุรี!I422"")"),0.0)</f>
        <v>0</v>
      </c>
      <c r="J527" s="232">
        <f>IFERROR(__xludf.DUMMYFUNCTION("IMPORTRANGE(""https://docs.google.com/spreadsheets/d/1SX6NBoVAgQJ6U1MVXOaj8PK2l7WJ3RER9xtqwdhxkhw/edit?usp=sharing"",""เพชรบุรี!J422"")"),0.0)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IFERROR(__xludf.DUMMYFUNCTION("IMPORTRANGE(""https://docs.google.com/spreadsheets/d/1SX6NBoVAgQJ6U1MVXOaj8PK2l7WJ3RER9xtqwdhxkhw/edit?usp=sharing"",""เพชรบุรี!I423"")"),0.0)</f>
        <v>0</v>
      </c>
      <c r="J528" s="232">
        <f>IFERROR(__xludf.DUMMYFUNCTION("IMPORTRANGE(""https://docs.google.com/spreadsheets/d/1SX6NBoVAgQJ6U1MVXOaj8PK2l7WJ3RER9xtqwdhxkhw/edit?usp=sharing"",""เพชรบุรี!J423"")"),0.0)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IFERROR(__xludf.DUMMYFUNCTION("IMPORTRANGE(""https://docs.google.com/spreadsheets/d/1SX6NBoVAgQJ6U1MVXOaj8PK2l7WJ3RER9xtqwdhxkhw/edit?usp=sharing"",""เพชรบุรี!I424"")"),0.0)</f>
        <v>0</v>
      </c>
      <c r="J529" s="232">
        <f>IFERROR(__xludf.DUMMYFUNCTION("IMPORTRANGE(""https://docs.google.com/spreadsheets/d/1SX6NBoVAgQJ6U1MVXOaj8PK2l7WJ3RER9xtqwdhxkhw/edit?usp=sharing"",""เพชรบุรี!J424"")"),0.0)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IFERROR(__xludf.DUMMYFUNCTION("IMPORTRANGE(""https://docs.google.com/spreadsheets/d/1SX6NBoVAgQJ6U1MVXOaj8PK2l7WJ3RER9xtqwdhxkhw/edit?usp=sharing"",""เพชรบุรี!I425"")"),0.0)</f>
        <v>0</v>
      </c>
      <c r="J530" s="232">
        <f>IFERROR(__xludf.DUMMYFUNCTION("IMPORTRANGE(""https://docs.google.com/spreadsheets/d/1SX6NBoVAgQJ6U1MVXOaj8PK2l7WJ3RER9xtqwdhxkhw/edit?usp=sharing"",""เพชรบุรี!J425"")"),0.0)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IFERROR(__xludf.DUMMYFUNCTION("IMPORTRANGE(""https://docs.google.com/spreadsheets/d/1SX6NBoVAgQJ6U1MVXOaj8PK2l7WJ3RER9xtqwdhxkhw/edit?usp=sharing"",""เพชรบุรี!I426"")"),0.0)</f>
        <v>0</v>
      </c>
      <c r="J531" s="232">
        <f>IFERROR(__xludf.DUMMYFUNCTION("IMPORTRANGE(""https://docs.google.com/spreadsheets/d/1SX6NBoVAgQJ6U1MVXOaj8PK2l7WJ3RER9xtqwdhxkhw/edit?usp=sharing"",""เพชรบุรี!J426"")"),0.0)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IFERROR(__xludf.DUMMYFUNCTION("IMPORTRANGE(""https://docs.google.com/spreadsheets/d/1SX6NBoVAgQJ6U1MVXOaj8PK2l7WJ3RER9xtqwdhxkhw/edit?usp=sharing"",""เพชรบุรี!I427"")"),0.0)</f>
        <v>0</v>
      </c>
      <c r="J532" s="499">
        <f>IFERROR(__xludf.DUMMYFUNCTION("IMPORTRANGE(""https://docs.google.com/spreadsheets/d/1SX6NBoVAgQJ6U1MVXOaj8PK2l7WJ3RER9xtqwdhxkhw/edit?usp=sharing"",""เพชรบุรี!J427"")"),0.0)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IFERROR(__xludf.DUMMYFUNCTION("IMPORTRANGE(""https://docs.google.com/spreadsheets/d/1SX6NBoVAgQJ6U1MVXOaj8PK2l7WJ3RER9xtqwdhxkhw/edit?usp=sharing"",""เพชรบุรี!I428"")"),22.0)</f>
        <v>22</v>
      </c>
      <c r="J533" s="443">
        <f>IFERROR(__xludf.DUMMYFUNCTION("IMPORTRANGE(""https://docs.google.com/spreadsheets/d/1SX6NBoVAgQJ6U1MVXOaj8PK2l7WJ3RER9xtqwdhxkhw/edit?usp=sharing"",""เพชรบุรี!J428"")"),22.0)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IFERROR(__xludf.DUMMYFUNCTION("IMPORTRANGE(""https://docs.google.com/spreadsheets/d/1SX6NBoVAgQJ6U1MVXOaj8PK2l7WJ3RER9xtqwdhxkhw/edit?usp=sharing"",""เพชรบุรี!L428"")"),34340.0)</f>
        <v>34340</v>
      </c>
      <c r="M533" s="445"/>
      <c r="N533" s="445">
        <f>IFERROR(__xludf.DUMMYFUNCTION("IMPORTRANGE(""https://docs.google.com/spreadsheets/d/1SX6NBoVAgQJ6U1MVXOaj8PK2l7WJ3RER9xtqwdhxkhw/edit?usp=sharing"",""เพชรบุรี!M428"")"),18805.0)</f>
        <v>18805</v>
      </c>
      <c r="O533" s="445">
        <f t="shared" ref="O533:O537" si="119">+IF(L533&gt;0,N533*100/L533,0)</f>
        <v>54.76121142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IFERROR(__xludf.DUMMYFUNCTION("IMPORTRANGE(""https://docs.google.com/spreadsheets/d/1SX6NBoVAgQJ6U1MVXOaj8PK2l7WJ3RER9xtqwdhxkhw/edit?usp=sharing"",""เพชรบุรี!L429"")"),0.0)</f>
        <v>0</v>
      </c>
      <c r="M534" s="197"/>
      <c r="N534" s="203">
        <f>IFERROR(__xludf.DUMMYFUNCTION("IMPORTRANGE(""https://docs.google.com/spreadsheets/d/1SX6NBoVAgQJ6U1MVXOaj8PK2l7WJ3RER9xtqwdhxkhw/edit?usp=sharing"",""เพชรบุรี!M429"")"),0.0)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IFERROR(__xludf.DUMMYFUNCTION("IMPORTRANGE(""https://docs.google.com/spreadsheets/d/1SX6NBoVAgQJ6U1MVXOaj8PK2l7WJ3RER9xtqwdhxkhw/edit?usp=sharing"",""เพชรบุรี!L430"")"),34340.0)</f>
        <v>34340</v>
      </c>
      <c r="M535" s="198"/>
      <c r="N535" s="203">
        <f>IFERROR(__xludf.DUMMYFUNCTION("IMPORTRANGE(""https://docs.google.com/spreadsheets/d/1SX6NBoVAgQJ6U1MVXOaj8PK2l7WJ3RER9xtqwdhxkhw/edit?usp=sharing"",""เพชรบุรี!M430"")"),18805.0)</f>
        <v>18805</v>
      </c>
      <c r="O535" s="203">
        <f t="shared" si="119"/>
        <v>54.76121142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IFERROR(__xludf.DUMMYFUNCTION("IMPORTRANGE(""https://docs.google.com/spreadsheets/d/1SX6NBoVAgQJ6U1MVXOaj8PK2l7WJ3RER9xtqwdhxkhw/edit?usp=sharing"",""เพชรบุรี!L431"")"),0.0)</f>
        <v>0</v>
      </c>
      <c r="M536" s="203"/>
      <c r="N536" s="203">
        <f>IFERROR(__xludf.DUMMYFUNCTION("IMPORTRANGE(""https://docs.google.com/spreadsheets/d/1SX6NBoVAgQJ6U1MVXOaj8PK2l7WJ3RER9xtqwdhxkhw/edit?usp=sharing"",""เพชรบุรี!M431"")"),0.0)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IFERROR(__xludf.DUMMYFUNCTION("IMPORTRANGE(""https://docs.google.com/spreadsheets/d/1SX6NBoVAgQJ6U1MVXOaj8PK2l7WJ3RER9xtqwdhxkhw/edit?usp=sharing"",""เพชรบุรี!L432"")"),34340.0)</f>
        <v>34340</v>
      </c>
      <c r="M537" s="203"/>
      <c r="N537" s="203">
        <f>IFERROR(__xludf.DUMMYFUNCTION("IMPORTRANGE(""https://docs.google.com/spreadsheets/d/1SX6NBoVAgQJ6U1MVXOaj8PK2l7WJ3RER9xtqwdhxkhw/edit?usp=sharing"",""เพชรบุรี!M432"")"),18805.0)</f>
        <v>18805</v>
      </c>
      <c r="O537" s="203">
        <f t="shared" si="119"/>
        <v>54.76121142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IFERROR(__xludf.DUMMYFUNCTION("IMPORTRANGE(""https://docs.google.com/spreadsheets/d/1SX6NBoVAgQJ6U1MVXOaj8PK2l7WJ3RER9xtqwdhxkhw/edit?usp=sharing"",""เพชรบุรี!M433"")"),18805.0)</f>
        <v>18805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IFERROR(__xludf.DUMMYFUNCTION("IMPORTRANGE(""https://docs.google.com/spreadsheets/d/1SX6NBoVAgQJ6U1MVXOaj8PK2l7WJ3RER9xtqwdhxkhw/edit?usp=sharing"",""เพชรบุรี!M434"")"),0.0)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IFERROR(__xludf.DUMMYFUNCTION("IMPORTRANGE(""https://docs.google.com/spreadsheets/d/1SX6NBoVAgQJ6U1MVXOaj8PK2l7WJ3RER9xtqwdhxkhw/edit?usp=sharing"",""เพชรบุรี!M435"")"),0.0)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IFERROR(__xludf.DUMMYFUNCTION("IMPORTRANGE(""https://docs.google.com/spreadsheets/d/1SX6NBoVAgQJ6U1MVXOaj8PK2l7WJ3RER9xtqwdhxkhw/edit?usp=sharing"",""เพชรบุรี!M436"")"),0.0)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IFERROR(__xludf.DUMMYFUNCTION("IMPORTRANGE(""https://docs.google.com/spreadsheets/d/1SX6NBoVAgQJ6U1MVXOaj8PK2l7WJ3RER9xtqwdhxkhw/edit?usp=sharing"",""เพชรบุรี!J438"")"),0.0)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IFERROR(__xludf.DUMMYFUNCTION("IMPORTRANGE(""https://docs.google.com/spreadsheets/d/1SX6NBoVAgQJ6U1MVXOaj8PK2l7WJ3RER9xtqwdhxkhw/edit?usp=sharing"",""เพชรบุรี!J439"")"),1.0)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IFERROR(__xludf.DUMMYFUNCTION("IMPORTRANGE(""https://docs.google.com/spreadsheets/d/1SX6NBoVAgQJ6U1MVXOaj8PK2l7WJ3RER9xtqwdhxkhw/edit?usp=sharing"",""เพชรบุรี!J440"")"),1.0)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IFERROR(__xludf.DUMMYFUNCTION("IMPORTRANGE(""https://docs.google.com/spreadsheets/d/1SX6NBoVAgQJ6U1MVXOaj8PK2l7WJ3RER9xtqwdhxkhw/edit?usp=sharing"",""เพชรบุรี!J441"")"),1.0)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IFERROR(__xludf.DUMMYFUNCTION("IMPORTRANGE(""https://docs.google.com/spreadsheets/d/1SX6NBoVAgQJ6U1MVXOaj8PK2l7WJ3RER9xtqwdhxkhw/edit?usp=sharing"",""เพชรบุรี!I442"")"),22.0)</f>
        <v>22</v>
      </c>
      <c r="J547" s="223">
        <f>IFERROR(__xludf.DUMMYFUNCTION("IMPORTRANGE(""https://docs.google.com/spreadsheets/d/1SX6NBoVAgQJ6U1MVXOaj8PK2l7WJ3RER9xtqwdhxkhw/edit?usp=sharing"",""เพชรบุรี!J442"")"),22.0)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IFERROR(__xludf.DUMMYFUNCTION("IMPORTRANGE(""https://docs.google.com/spreadsheets/d/1SX6NBoVAgQJ6U1MVXOaj8PK2l7WJ3RER9xtqwdhxkhw/edit?usp=sharing"",""เพชรบุรี!J166"")"),0.0)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IFERROR(__xludf.DUMMYFUNCTION("IMPORTRANGE(""https://docs.google.com/spreadsheets/d/1SX6NBoVAgQJ6U1MVXOaj8PK2l7WJ3RER9xtqwdhxkhw/edit?usp=sharing"",""เพชรบุรี!J444"")"),0.0)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IFERROR(__xludf.DUMMYFUNCTION("IMPORTRANGE(""https://docs.google.com/spreadsheets/d/1SX6NBoVAgQJ6U1MVXOaj8PK2l7WJ3RER9xtqwdhxkhw/edit?usp=sharing"",""เพชรบุรี!J445"")"),0.0)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IFERROR(__xludf.DUMMYFUNCTION("IMPORTRANGE(""https://docs.google.com/spreadsheets/d/1SX6NBoVAgQJ6U1MVXOaj8PK2l7WJ3RER9xtqwdhxkhw/edit?usp=sharing"",""เพชรบุรี!I446"")"),0.0)</f>
        <v>0</v>
      </c>
      <c r="J551" s="443">
        <f>IFERROR(__xludf.DUMMYFUNCTION("IMPORTRANGE(""https://docs.google.com/spreadsheets/d/1SX6NBoVAgQJ6U1MVXOaj8PK2l7WJ3RER9xtqwdhxkhw/edit?usp=sharing"",""เพชรบุรี!J446"")"),0.0)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IFERROR(__xludf.DUMMYFUNCTION("IMPORTRANGE(""https://docs.google.com/spreadsheets/d/1SX6NBoVAgQJ6U1MVXOaj8PK2l7WJ3RER9xtqwdhxkhw/edit?usp=sharing"",""เพชรบุรี!L446"")"),0.0)</f>
        <v>0</v>
      </c>
      <c r="M551" s="445"/>
      <c r="N551" s="445">
        <f>IFERROR(__xludf.DUMMYFUNCTION("IMPORTRANGE(""https://docs.google.com/spreadsheets/d/1SX6NBoVAgQJ6U1MVXOaj8PK2l7WJ3RER9xtqwdhxkhw/edit?usp=sharing"",""เพชรบุรี!M446"")"),0.0)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IFERROR(__xludf.DUMMYFUNCTION("IMPORTRANGE(""https://docs.google.com/spreadsheets/d/1SX6NBoVAgQJ6U1MVXOaj8PK2l7WJ3RER9xtqwdhxkhw/edit?usp=sharing"",""เพชรบุรี!L447"")"),0.0)</f>
        <v>0</v>
      </c>
      <c r="M552" s="197"/>
      <c r="N552" s="203">
        <f>IFERROR(__xludf.DUMMYFUNCTION("IMPORTRANGE(""https://docs.google.com/spreadsheets/d/1SX6NBoVAgQJ6U1MVXOaj8PK2l7WJ3RER9xtqwdhxkhw/edit?usp=sharing"",""เพชรบุรี!M447"")"),0.0)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IFERROR(__xludf.DUMMYFUNCTION("IMPORTRANGE(""https://docs.google.com/spreadsheets/d/1SX6NBoVAgQJ6U1MVXOaj8PK2l7WJ3RER9xtqwdhxkhw/edit?usp=sharing"",""เพชรบุรี!L448"")"),0.0)</f>
        <v>0</v>
      </c>
      <c r="M553" s="198"/>
      <c r="N553" s="203">
        <f>IFERROR(__xludf.DUMMYFUNCTION("IMPORTRANGE(""https://docs.google.com/spreadsheets/d/1SX6NBoVAgQJ6U1MVXOaj8PK2l7WJ3RER9xtqwdhxkhw/edit?usp=sharing"",""เพชรบุรี!M448"")"),0.0)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IFERROR(__xludf.DUMMYFUNCTION("IMPORTRANGE(""https://docs.google.com/spreadsheets/d/1SX6NBoVAgQJ6U1MVXOaj8PK2l7WJ3RER9xtqwdhxkhw/edit?usp=sharing"",""เพชรบุรี!L449"")"),0.0)</f>
        <v>0</v>
      </c>
      <c r="M554" s="203"/>
      <c r="N554" s="203">
        <f>IFERROR(__xludf.DUMMYFUNCTION("IMPORTRANGE(""https://docs.google.com/spreadsheets/d/1SX6NBoVAgQJ6U1MVXOaj8PK2l7WJ3RER9xtqwdhxkhw/edit?usp=sharing"",""เพชรบุรี!M449"")"),0.0)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IFERROR(__xludf.DUMMYFUNCTION("IMPORTRANGE(""https://docs.google.com/spreadsheets/d/1SX6NBoVAgQJ6U1MVXOaj8PK2l7WJ3RER9xtqwdhxkhw/edit?usp=sharing"",""เพชรบุรี!L450"")"),0.0)</f>
        <v>0</v>
      </c>
      <c r="M555" s="203"/>
      <c r="N555" s="203">
        <f>IFERROR(__xludf.DUMMYFUNCTION("IMPORTRANGE(""https://docs.google.com/spreadsheets/d/1SX6NBoVAgQJ6U1MVXOaj8PK2l7WJ3RER9xtqwdhxkhw/edit?usp=sharing"",""เพชรบุรี!M450"")"),0.0)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IFERROR(__xludf.DUMMYFUNCTION("IMPORTRANGE(""https://docs.google.com/spreadsheets/d/1SX6NBoVAgQJ6U1MVXOaj8PK2l7WJ3RER9xtqwdhxkhw/edit?usp=sharing"",""เพชรบุรี!M451"")"),0.0)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IFERROR(__xludf.DUMMYFUNCTION("IMPORTRANGE(""https://docs.google.com/spreadsheets/d/1SX6NBoVAgQJ6U1MVXOaj8PK2l7WJ3RER9xtqwdhxkhw/edit?usp=sharing"",""เพชรบุรี!M452"")"),0.0)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IFERROR(__xludf.DUMMYFUNCTION("IMPORTRANGE(""https://docs.google.com/spreadsheets/d/1SX6NBoVAgQJ6U1MVXOaj8PK2l7WJ3RER9xtqwdhxkhw/edit?usp=sharing"",""เพชรบุรี!M453"")"),0.0)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IFERROR(__xludf.DUMMYFUNCTION("IMPORTRANGE(""https://docs.google.com/spreadsheets/d/1SX6NBoVAgQJ6U1MVXOaj8PK2l7WJ3RER9xtqwdhxkhw/edit?usp=sharing"",""เพชรบุรี!M454"")"),0.0)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IFERROR(__xludf.DUMMYFUNCTION("IMPORTRANGE(""https://docs.google.com/spreadsheets/d/1SX6NBoVAgQJ6U1MVXOaj8PK2l7WJ3RER9xtqwdhxkhw/edit?usp=sharing"",""เพชรบุรี!I455"")"),0.0)</f>
        <v>0</v>
      </c>
      <c r="J560" s="195">
        <f>IFERROR(__xludf.DUMMYFUNCTION("IMPORTRANGE(""https://docs.google.com/spreadsheets/d/1SX6NBoVAgQJ6U1MVXOaj8PK2l7WJ3RER9xtqwdhxkhw/edit?usp=sharing"",""เพชรบุรี!J455"")"),0.0)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IFERROR(__xludf.DUMMYFUNCTION("IMPORTRANGE(""https://docs.google.com/spreadsheets/d/1SX6NBoVAgQJ6U1MVXOaj8PK2l7WJ3RER9xtqwdhxkhw/edit?usp=sharing"",""เพชรบุรี!I456"")"),0.0)</f>
        <v>0</v>
      </c>
      <c r="J561" s="238">
        <f>IFERROR(__xludf.DUMMYFUNCTION("IMPORTRANGE(""https://docs.google.com/spreadsheets/d/1SX6NBoVAgQJ6U1MVXOaj8PK2l7WJ3RER9xtqwdhxkhw/edit?usp=sharing"",""เพชรบุรี!J456"")"),0.0)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IFERROR(__xludf.DUMMYFUNCTION("IMPORTRANGE(""https://docs.google.com/spreadsheets/d/1SX6NBoVAgQJ6U1MVXOaj8PK2l7WJ3RER9xtqwdhxkhw/edit?usp=sharing"",""เพชรบุรี!I457"")"),"")</f>
        <v/>
      </c>
      <c r="J562" s="238" t="str">
        <f>IFERROR(__xludf.DUMMYFUNCTION("IMPORTRANGE(""https://docs.google.com/spreadsheets/d/1SX6NBoVAgQJ6U1MVXOaj8PK2l7WJ3RER9xtqwdhxkhw/edit?usp=sharing"",""เพชรบุรี!J457"")"),"")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IFERROR(__xludf.DUMMYFUNCTION("IMPORTRANGE(""https://docs.google.com/spreadsheets/d/1SX6NBoVAgQJ6U1MVXOaj8PK2l7WJ3RER9xtqwdhxkhw/edit?usp=sharing"",""เพชรบุรี!I458"")"),"")</f>
        <v/>
      </c>
      <c r="J563" s="222" t="str">
        <f>IFERROR(__xludf.DUMMYFUNCTION("IMPORTRANGE(""https://docs.google.com/spreadsheets/d/1SX6NBoVAgQJ6U1MVXOaj8PK2l7WJ3RER9xtqwdhxkhw/edit?usp=sharing"",""เพชรบุรี!J458"")"),"")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IFERROR(__xludf.DUMMYFUNCTION("IMPORTRANGE(""https://docs.google.com/spreadsheets/d/1SX6NBoVAgQJ6U1MVXOaj8PK2l7WJ3RER9xtqwdhxkhw/edit?usp=sharing"",""เพชรบุรี!I459"")"),150.0)</f>
        <v>150</v>
      </c>
      <c r="J564" s="404">
        <f>IFERROR(__xludf.DUMMYFUNCTION("IMPORTRANGE(""https://docs.google.com/spreadsheets/d/1SX6NBoVAgQJ6U1MVXOaj8PK2l7WJ3RER9xtqwdhxkhw/edit?usp=sharing"",""เพชรบุรี!J459"")"),0.0)</f>
        <v>0</v>
      </c>
      <c r="K564" s="405">
        <f t="shared" si="122"/>
        <v>0</v>
      </c>
      <c r="L564" s="406">
        <f>IFERROR(__xludf.DUMMYFUNCTION("IMPORTRANGE(""https://docs.google.com/spreadsheets/d/1SX6NBoVAgQJ6U1MVXOaj8PK2l7WJ3RER9xtqwdhxkhw/edit?usp=sharing"",""เพชรบุรี!L459"")"),122400.0)</f>
        <v>122400</v>
      </c>
      <c r="M564" s="406"/>
      <c r="N564" s="406">
        <f>IFERROR(__xludf.DUMMYFUNCTION("IMPORTRANGE(""https://docs.google.com/spreadsheets/d/1SX6NBoVAgQJ6U1MVXOaj8PK2l7WJ3RER9xtqwdhxkhw/edit?usp=sharing"",""เพชรบุรี!M459"")"),22000.0)</f>
        <v>22000</v>
      </c>
      <c r="O564" s="406">
        <f t="shared" ref="O564:O568" si="123">+IF(L564&gt;0,N564*100/L564,0)</f>
        <v>17.97385621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IFERROR(__xludf.DUMMYFUNCTION("IMPORTRANGE(""https://docs.google.com/spreadsheets/d/1SX6NBoVAgQJ6U1MVXOaj8PK2l7WJ3RER9xtqwdhxkhw/edit?usp=sharing"",""เพชรบุรี!L460"")"),0.0)</f>
        <v>0</v>
      </c>
      <c r="M565" s="197"/>
      <c r="N565" s="203">
        <f>IFERROR(__xludf.DUMMYFUNCTION("IMPORTRANGE(""https://docs.google.com/spreadsheets/d/1SX6NBoVAgQJ6U1MVXOaj8PK2l7WJ3RER9xtqwdhxkhw/edit?usp=sharing"",""เพชรบุรี!M460"")"),0.0)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IFERROR(__xludf.DUMMYFUNCTION("IMPORTRANGE(""https://docs.google.com/spreadsheets/d/1SX6NBoVAgQJ6U1MVXOaj8PK2l7WJ3RER9xtqwdhxkhw/edit?usp=sharing"",""เพชรบุรี!L461"")"),122400.0)</f>
        <v>122400</v>
      </c>
      <c r="M566" s="198"/>
      <c r="N566" s="203">
        <f>IFERROR(__xludf.DUMMYFUNCTION("IMPORTRANGE(""https://docs.google.com/spreadsheets/d/1SX6NBoVAgQJ6U1MVXOaj8PK2l7WJ3RER9xtqwdhxkhw/edit?usp=sharing"",""เพชรบุรี!M461"")"),22000.0)</f>
        <v>22000</v>
      </c>
      <c r="O566" s="203">
        <f t="shared" si="123"/>
        <v>17.97385621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IFERROR(__xludf.DUMMYFUNCTION("IMPORTRANGE(""https://docs.google.com/spreadsheets/d/1SX6NBoVAgQJ6U1MVXOaj8PK2l7WJ3RER9xtqwdhxkhw/edit?usp=sharing"",""เพชรบุรี!L462"")"),0.0)</f>
        <v>0</v>
      </c>
      <c r="M567" s="203"/>
      <c r="N567" s="203">
        <f>IFERROR(__xludf.DUMMYFUNCTION("IMPORTRANGE(""https://docs.google.com/spreadsheets/d/1SX6NBoVAgQJ6U1MVXOaj8PK2l7WJ3RER9xtqwdhxkhw/edit?usp=sharing"",""เพชรบุรี!M462"")"),0.0)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IFERROR(__xludf.DUMMYFUNCTION("IMPORTRANGE(""https://docs.google.com/spreadsheets/d/1SX6NBoVAgQJ6U1MVXOaj8PK2l7WJ3RER9xtqwdhxkhw/edit?usp=sharing"",""เพชรบุรี!L463"")"),122400.0)</f>
        <v>122400</v>
      </c>
      <c r="M568" s="203"/>
      <c r="N568" s="203">
        <f>IFERROR(__xludf.DUMMYFUNCTION("IMPORTRANGE(""https://docs.google.com/spreadsheets/d/1SX6NBoVAgQJ6U1MVXOaj8PK2l7WJ3RER9xtqwdhxkhw/edit?usp=sharing"",""เพชรบุรี!M463"")"),22000.0)</f>
        <v>22000</v>
      </c>
      <c r="O568" s="203">
        <f t="shared" si="123"/>
        <v>17.97385621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IFERROR(__xludf.DUMMYFUNCTION("IMPORTRANGE(""https://docs.google.com/spreadsheets/d/1SX6NBoVAgQJ6U1MVXOaj8PK2l7WJ3RER9xtqwdhxkhw/edit?usp=sharing"",""เพชรบุรี!M464"")"),0.0)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IFERROR(__xludf.DUMMYFUNCTION("IMPORTRANGE(""https://docs.google.com/spreadsheets/d/1SX6NBoVAgQJ6U1MVXOaj8PK2l7WJ3RER9xtqwdhxkhw/edit?usp=sharing"",""เพชรบุรี!M465"")"),0.0)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IFERROR(__xludf.DUMMYFUNCTION("IMPORTRANGE(""https://docs.google.com/spreadsheets/d/1SX6NBoVAgQJ6U1MVXOaj8PK2l7WJ3RER9xtqwdhxkhw/edit?usp=sharing"",""เพชรบุรี!M466"")"),22000.0)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IFERROR(__xludf.DUMMYFUNCTION("IMPORTRANGE(""https://docs.google.com/spreadsheets/d/1SX6NBoVAgQJ6U1MVXOaj8PK2l7WJ3RER9xtqwdhxkhw/edit?usp=sharing"",""เพชรบุรี!M467"")"),0.0)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IFERROR(__xludf.DUMMYFUNCTION("IMPORTRANGE(""https://docs.google.com/spreadsheets/d/1SX6NBoVAgQJ6U1MVXOaj8PK2l7WJ3RER9xtqwdhxkhw/edit?usp=sharing"",""เพชรบุรี!I468"")"),150.0)</f>
        <v>150</v>
      </c>
      <c r="J573" s="453">
        <f>IFERROR(__xludf.DUMMYFUNCTION("IMPORTRANGE(""https://docs.google.com/spreadsheets/d/1SX6NBoVAgQJ6U1MVXOaj8PK2l7WJ3RER9xtqwdhxkhw/edit?usp=sharing"",""เพชรบุรี!J468"")"),0.0)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IFERROR(__xludf.DUMMYFUNCTION("IMPORTRANGE(""https://docs.google.com/spreadsheets/d/1SX6NBoVAgQJ6U1MVXOaj8PK2l7WJ3RER9xtqwdhxkhw/edit?usp=sharing"",""เพชรบุรี!I470"")"),0.0)</f>
        <v>0</v>
      </c>
      <c r="J575" s="232">
        <f>IFERROR(__xludf.DUMMYFUNCTION("IMPORTRANGE(""https://docs.google.com/spreadsheets/d/1SX6NBoVAgQJ6U1MVXOaj8PK2l7WJ3RER9xtqwdhxkhw/edit?usp=sharing"",""เพชรบุรี!J470"")"),0.0)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IFERROR(__xludf.DUMMYFUNCTION("IMPORTRANGE(""https://docs.google.com/spreadsheets/d/1SX6NBoVAgQJ6U1MVXOaj8PK2l7WJ3RER9xtqwdhxkhw/edit?usp=sharing"",""เพชรบุรี!I471"")"),0.0)</f>
        <v>0</v>
      </c>
      <c r="J576" s="232">
        <f>IFERROR(__xludf.DUMMYFUNCTION("IMPORTRANGE(""https://docs.google.com/spreadsheets/d/1SX6NBoVAgQJ6U1MVXOaj8PK2l7WJ3RER9xtqwdhxkhw/edit?usp=sharing"",""เพชรบุรี!J471"")"),0.0)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IFERROR(__xludf.DUMMYFUNCTION("IMPORTRANGE(""https://docs.google.com/spreadsheets/d/1SX6NBoVAgQJ6U1MVXOaj8PK2l7WJ3RER9xtqwdhxkhw/edit?usp=sharing"",""เพชรบุรี!I472"")"),0.0)</f>
        <v>0</v>
      </c>
      <c r="J577" s="223" t="str">
        <f>IFERROR(__xludf.DUMMYFUNCTION("IMPORTRANGE(""https://docs.google.com/spreadsheets/d/1SX6NBoVAgQJ6U1MVXOaj8PK2l7WJ3RER9xtqwdhxkhw/edit?usp=sharing"",""เพชรบุรี!J472"")"),"")</f>
        <v/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IFERROR(__xludf.DUMMYFUNCTION("IMPORTRANGE(""https://docs.google.com/spreadsheets/d/1SX6NBoVAgQJ6U1MVXOaj8PK2l7WJ3RER9xtqwdhxkhw/edit?usp=sharing"",""เพชรบุรี!I473"")"),0.0)</f>
        <v>0</v>
      </c>
      <c r="J578" s="232">
        <f>IFERROR(__xludf.DUMMYFUNCTION("IMPORTRANGE(""https://docs.google.com/spreadsheets/d/1SX6NBoVAgQJ6U1MVXOaj8PK2l7WJ3RER9xtqwdhxkhw/edit?usp=sharing"",""เพชรบุรี!J473"")"),0.0)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IFERROR(__xludf.DUMMYFUNCTION("IMPORTRANGE(""https://docs.google.com/spreadsheets/d/1SX6NBoVAgQJ6U1MVXOaj8PK2l7WJ3RER9xtqwdhxkhw/edit?usp=sharing"",""เพชรบุรี!I474"")"),0.0)</f>
        <v>0</v>
      </c>
      <c r="J579" s="232">
        <f>IFERROR(__xludf.DUMMYFUNCTION("IMPORTRANGE(""https://docs.google.com/spreadsheets/d/1SX6NBoVAgQJ6U1MVXOaj8PK2l7WJ3RER9xtqwdhxkhw/edit?usp=sharing"",""เพชรบุรี!J474"")"),0.0)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IFERROR(__xludf.DUMMYFUNCTION("IMPORTRANGE(""https://docs.google.com/spreadsheets/d/1SX6NBoVAgQJ6U1MVXOaj8PK2l7WJ3RER9xtqwdhxkhw/edit?usp=sharing"",""เพชรบุรี!I475"")"),0.0)</f>
        <v>0</v>
      </c>
      <c r="J580" s="404">
        <f>IFERROR(__xludf.DUMMYFUNCTION("IMPORTRANGE(""https://docs.google.com/spreadsheets/d/1SX6NBoVAgQJ6U1MVXOaj8PK2l7WJ3RER9xtqwdhxkhw/edit?usp=sharing"",""เพชรบุรี!J475"")"),0.0)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IFERROR(__xludf.DUMMYFUNCTION("IMPORTRANGE(""https://docs.google.com/spreadsheets/d/1SX6NBoVAgQJ6U1MVXOaj8PK2l7WJ3RER9xtqwdhxkhw/edit?usp=sharing"",""เพชรบุรี!L475"")"),0.0)</f>
        <v>0</v>
      </c>
      <c r="M580" s="406"/>
      <c r="N580" s="406">
        <f>IFERROR(__xludf.DUMMYFUNCTION("IMPORTRANGE(""https://docs.google.com/spreadsheets/d/1SX6NBoVAgQJ6U1MVXOaj8PK2l7WJ3RER9xtqwdhxkhw/edit?usp=sharing"",""เพชรบุรี!M475"")"),0.0)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IFERROR(__xludf.DUMMYFUNCTION("IMPORTRANGE(""https://docs.google.com/spreadsheets/d/1SX6NBoVAgQJ6U1MVXOaj8PK2l7WJ3RER9xtqwdhxkhw/edit?usp=sharing"",""เพชรบุรี!L476"")"),0.0)</f>
        <v>0</v>
      </c>
      <c r="M581" s="197"/>
      <c r="N581" s="203">
        <f>IFERROR(__xludf.DUMMYFUNCTION("IMPORTRANGE(""https://docs.google.com/spreadsheets/d/1SX6NBoVAgQJ6U1MVXOaj8PK2l7WJ3RER9xtqwdhxkhw/edit?usp=sharing"",""เพชรบุรี!M476"")"),0.0)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IFERROR(__xludf.DUMMYFUNCTION("IMPORTRANGE(""https://docs.google.com/spreadsheets/d/1SX6NBoVAgQJ6U1MVXOaj8PK2l7WJ3RER9xtqwdhxkhw/edit?usp=sharing"",""เพชรบุรี!L477"")"),0.0)</f>
        <v>0</v>
      </c>
      <c r="M582" s="198"/>
      <c r="N582" s="203">
        <f>IFERROR(__xludf.DUMMYFUNCTION("IMPORTRANGE(""https://docs.google.com/spreadsheets/d/1SX6NBoVAgQJ6U1MVXOaj8PK2l7WJ3RER9xtqwdhxkhw/edit?usp=sharing"",""เพชรบุรี!M477"")"),0.0)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IFERROR(__xludf.DUMMYFUNCTION("IMPORTRANGE(""https://docs.google.com/spreadsheets/d/1SX6NBoVAgQJ6U1MVXOaj8PK2l7WJ3RER9xtqwdhxkhw/edit?usp=sharing"",""เพชรบุรี!L478"")"),0.0)</f>
        <v>0</v>
      </c>
      <c r="M583" s="203"/>
      <c r="N583" s="203">
        <f>IFERROR(__xludf.DUMMYFUNCTION("IMPORTRANGE(""https://docs.google.com/spreadsheets/d/1SX6NBoVAgQJ6U1MVXOaj8PK2l7WJ3RER9xtqwdhxkhw/edit?usp=sharing"",""เพชรบุรี!M478"")"),0.0)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IFERROR(__xludf.DUMMYFUNCTION("IMPORTRANGE(""https://docs.google.com/spreadsheets/d/1SX6NBoVAgQJ6U1MVXOaj8PK2l7WJ3RER9xtqwdhxkhw/edit?usp=sharing"",""เพชรบุรี!L479"")"),0.0)</f>
        <v>0</v>
      </c>
      <c r="M584" s="203"/>
      <c r="N584" s="203">
        <f>IFERROR(__xludf.DUMMYFUNCTION("IMPORTRANGE(""https://docs.google.com/spreadsheets/d/1SX6NBoVAgQJ6U1MVXOaj8PK2l7WJ3RER9xtqwdhxkhw/edit?usp=sharing"",""เพชรบุรี!M479"")"),0.0)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IFERROR(__xludf.DUMMYFUNCTION("IMPORTRANGE(""https://docs.google.com/spreadsheets/d/1SX6NBoVAgQJ6U1MVXOaj8PK2l7WJ3RER9xtqwdhxkhw/edit?usp=sharing"",""เพชรบุรี!M480"")"),0.0)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IFERROR(__xludf.DUMMYFUNCTION("IMPORTRANGE(""https://docs.google.com/spreadsheets/d/1SX6NBoVAgQJ6U1MVXOaj8PK2l7WJ3RER9xtqwdhxkhw/edit?usp=sharing"",""เพชรบุรี!M481"")"),0.0)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IFERROR(__xludf.DUMMYFUNCTION("IMPORTRANGE(""https://docs.google.com/spreadsheets/d/1SX6NBoVAgQJ6U1MVXOaj8PK2l7WJ3RER9xtqwdhxkhw/edit?usp=sharing"",""เพชรบุรี!M482"")"),0.0)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IFERROR(__xludf.DUMMYFUNCTION("IMPORTRANGE(""https://docs.google.com/spreadsheets/d/1SX6NBoVAgQJ6U1MVXOaj8PK2l7WJ3RER9xtqwdhxkhw/edit?usp=sharing"",""เพชรบุรี!M483"")"),0.0)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IFERROR(__xludf.DUMMYFUNCTION("IMPORTRANGE(""https://docs.google.com/spreadsheets/d/1SX6NBoVAgQJ6U1MVXOaj8PK2l7WJ3RER9xtqwdhxkhw/edit?usp=sharing"",""เพชรบุรี!I484"")"),0.0)</f>
        <v>0</v>
      </c>
      <c r="J589" s="222">
        <f>IFERROR(__xludf.DUMMYFUNCTION("IMPORTRANGE(""https://docs.google.com/spreadsheets/d/1SX6NBoVAgQJ6U1MVXOaj8PK2l7WJ3RER9xtqwdhxkhw/edit?usp=sharing"",""เพชรบุรี!J484"")"),0.0)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IFERROR(__xludf.DUMMYFUNCTION("IMPORTRANGE(""https://docs.google.com/spreadsheets/d/1SX6NBoVAgQJ6U1MVXOaj8PK2l7WJ3RER9xtqwdhxkhw/edit?usp=sharing"",""เพชรบุรี!I485"")"),0.0)</f>
        <v>0</v>
      </c>
      <c r="J590" s="222">
        <f>IFERROR(__xludf.DUMMYFUNCTION("IMPORTRANGE(""https://docs.google.com/spreadsheets/d/1SX6NBoVAgQJ6U1MVXOaj8PK2l7WJ3RER9xtqwdhxkhw/edit?usp=sharing"",""เพชรบุรี!J485"")"),0.0)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IFERROR(__xludf.DUMMYFUNCTION("IMPORTRANGE(""https://docs.google.com/spreadsheets/d/1SX6NBoVAgQJ6U1MVXOaj8PK2l7WJ3RER9xtqwdhxkhw/edit?usp=sharing"",""เพชรบุรี!I486"")"),0.0)</f>
        <v>0</v>
      </c>
      <c r="J591" s="222">
        <f>IFERROR(__xludf.DUMMYFUNCTION("IMPORTRANGE(""https://docs.google.com/spreadsheets/d/1SX6NBoVAgQJ6U1MVXOaj8PK2l7WJ3RER9xtqwdhxkhw/edit?usp=sharing"",""เพชรบุรี!J486"")"),0.0)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IFERROR(__xludf.DUMMYFUNCTION("IMPORTRANGE(""https://docs.google.com/spreadsheets/d/1SX6NBoVAgQJ6U1MVXOaj8PK2l7WJ3RER9xtqwdhxkhw/edit?usp=sharing"",""เพชรบุรี!I487"")"),0.0)</f>
        <v>0</v>
      </c>
      <c r="J592" s="222">
        <f>IFERROR(__xludf.DUMMYFUNCTION("IMPORTRANGE(""https://docs.google.com/spreadsheets/d/1SX6NBoVAgQJ6U1MVXOaj8PK2l7WJ3RER9xtqwdhxkhw/edit?usp=sharing"",""เพชรบุรี!J487"")"),0.0)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IFERROR(__xludf.DUMMYFUNCTION("IMPORTRANGE(""https://docs.google.com/spreadsheets/d/1SX6NBoVAgQJ6U1MVXOaj8PK2l7WJ3RER9xtqwdhxkhw/edit?usp=sharing"",""เพชรบุรี!I488"")"),0.0)</f>
        <v>0</v>
      </c>
      <c r="J593" s="222">
        <f>IFERROR(__xludf.DUMMYFUNCTION("IMPORTRANGE(""https://docs.google.com/spreadsheets/d/1SX6NBoVAgQJ6U1MVXOaj8PK2l7WJ3RER9xtqwdhxkhw/edit?usp=sharing"",""เพชรบุรี!J488"")"),0.0)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IFERROR(__xludf.DUMMYFUNCTION("IMPORTRANGE(""https://docs.google.com/spreadsheets/d/1SX6NBoVAgQJ6U1MVXOaj8PK2l7WJ3RER9xtqwdhxkhw/edit?usp=sharing"",""เพชรบุรี!I489"")"),0.0)</f>
        <v>0</v>
      </c>
      <c r="J594" s="222">
        <f>IFERROR(__xludf.DUMMYFUNCTION("IMPORTRANGE(""https://docs.google.com/spreadsheets/d/1SX6NBoVAgQJ6U1MVXOaj8PK2l7WJ3RER9xtqwdhxkhw/edit?usp=sharing"",""เพชรบุรี!J489"")"),0.0)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IFERROR(__xludf.DUMMYFUNCTION("IMPORTRANGE(""https://docs.google.com/spreadsheets/d/1SX6NBoVAgQJ6U1MVXOaj8PK2l7WJ3RER9xtqwdhxkhw/edit?usp=sharing"",""เพชรบุรี!I490"")"),0.0)</f>
        <v>0</v>
      </c>
      <c r="J595" s="222">
        <f>IFERROR(__xludf.DUMMYFUNCTION("IMPORTRANGE(""https://docs.google.com/spreadsheets/d/1SX6NBoVAgQJ6U1MVXOaj8PK2l7WJ3RER9xtqwdhxkhw/edit?usp=sharing"",""เพชรบุรี!J490"")"),0.0)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IFERROR(__xludf.DUMMYFUNCTION("IMPORTRANGE(""https://docs.google.com/spreadsheets/d/1SX6NBoVAgQJ6U1MVXOaj8PK2l7WJ3RER9xtqwdhxkhw/edit?usp=sharing"",""เพชรบุรี!I491"")"),0.0)</f>
        <v>0</v>
      </c>
      <c r="J596" s="275">
        <f>IFERROR(__xludf.DUMMYFUNCTION("IMPORTRANGE(""https://docs.google.com/spreadsheets/d/1SX6NBoVAgQJ6U1MVXOaj8PK2l7WJ3RER9xtqwdhxkhw/edit?usp=sharing"",""เพชรบุรี!J491"")"),0.0)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IFERROR(__xludf.DUMMYFUNCTION("IMPORTRANGE(""https://docs.google.com/spreadsheets/d/1SX6NBoVAgQJ6U1MVXOaj8PK2l7WJ3RER9xtqwdhxkhw/edit?usp=sharing"",""เพชรบุรี!I492"")"),50.0)</f>
        <v>50</v>
      </c>
      <c r="J597" s="520">
        <f>IFERROR(__xludf.DUMMYFUNCTION("IMPORTRANGE(""https://docs.google.com/spreadsheets/d/1SX6NBoVAgQJ6U1MVXOaj8PK2l7WJ3RER9xtqwdhxkhw/edit?usp=sharing"",""เพชรบุรี!J492"")"),0.0)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IFERROR(__xludf.DUMMYFUNCTION("IMPORTRANGE(""https://docs.google.com/spreadsheets/d/1SX6NBoVAgQJ6U1MVXOaj8PK2l7WJ3RER9xtqwdhxkhw/edit?usp=sharing"",""เพชรบุรี!L492"")"),4550.0)</f>
        <v>4550</v>
      </c>
      <c r="M597" s="445"/>
      <c r="N597" s="445">
        <f>IFERROR(__xludf.DUMMYFUNCTION("IMPORTRANGE(""https://docs.google.com/spreadsheets/d/1SX6NBoVAgQJ6U1MVXOaj8PK2l7WJ3RER9xtqwdhxkhw/edit?usp=sharing"",""เพชรบุรี!M492"")"),950.0)</f>
        <v>950</v>
      </c>
      <c r="O597" s="445">
        <f t="shared" ref="O597:O601" si="127">+IF(L597&gt;0,N597*100/L597,0)</f>
        <v>20.87912088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IFERROR(__xludf.DUMMYFUNCTION("IMPORTRANGE(""https://docs.google.com/spreadsheets/d/1SX6NBoVAgQJ6U1MVXOaj8PK2l7WJ3RER9xtqwdhxkhw/edit?usp=sharing"",""เพชรบุรี!L493"")"),0.0)</f>
        <v>0</v>
      </c>
      <c r="M598" s="197"/>
      <c r="N598" s="203">
        <f>IFERROR(__xludf.DUMMYFUNCTION("IMPORTRANGE(""https://docs.google.com/spreadsheets/d/1SX6NBoVAgQJ6U1MVXOaj8PK2l7WJ3RER9xtqwdhxkhw/edit?usp=sharing"",""เพชรบุรี!M493"")"),0.0)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IFERROR(__xludf.DUMMYFUNCTION("IMPORTRANGE(""https://docs.google.com/spreadsheets/d/1SX6NBoVAgQJ6U1MVXOaj8PK2l7WJ3RER9xtqwdhxkhw/edit?usp=sharing"",""เพชรบุรี!L494"")"),4550.0)</f>
        <v>4550</v>
      </c>
      <c r="M599" s="198"/>
      <c r="N599" s="203">
        <f>IFERROR(__xludf.DUMMYFUNCTION("IMPORTRANGE(""https://docs.google.com/spreadsheets/d/1SX6NBoVAgQJ6U1MVXOaj8PK2l7WJ3RER9xtqwdhxkhw/edit?usp=sharing"",""เพชรบุรี!M494"")"),950.0)</f>
        <v>950</v>
      </c>
      <c r="O599" s="203">
        <f t="shared" si="127"/>
        <v>20.87912088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IFERROR(__xludf.DUMMYFUNCTION("IMPORTRANGE(""https://docs.google.com/spreadsheets/d/1SX6NBoVAgQJ6U1MVXOaj8PK2l7WJ3RER9xtqwdhxkhw/edit?usp=sharing"",""เพชรบุรี!L495"")"),0.0)</f>
        <v>0</v>
      </c>
      <c r="M600" s="203"/>
      <c r="N600" s="203">
        <f>IFERROR(__xludf.DUMMYFUNCTION("IMPORTRANGE(""https://docs.google.com/spreadsheets/d/1SX6NBoVAgQJ6U1MVXOaj8PK2l7WJ3RER9xtqwdhxkhw/edit?usp=sharing"",""เพชรบุรี!M495"")"),0.0)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IFERROR(__xludf.DUMMYFUNCTION("IMPORTRANGE(""https://docs.google.com/spreadsheets/d/1SX6NBoVAgQJ6U1MVXOaj8PK2l7WJ3RER9xtqwdhxkhw/edit?usp=sharing"",""เพชรบุรี!L496"")"),4550.0)</f>
        <v>4550</v>
      </c>
      <c r="M601" s="203"/>
      <c r="N601" s="203">
        <f>IFERROR(__xludf.DUMMYFUNCTION("IMPORTRANGE(""https://docs.google.com/spreadsheets/d/1SX6NBoVAgQJ6U1MVXOaj8PK2l7WJ3RER9xtqwdhxkhw/edit?usp=sharing"",""เพชรบุรี!M496"")"),950.0)</f>
        <v>950</v>
      </c>
      <c r="O601" s="203">
        <f t="shared" si="127"/>
        <v>20.87912088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IFERROR(__xludf.DUMMYFUNCTION("IMPORTRANGE(""https://docs.google.com/spreadsheets/d/1SX6NBoVAgQJ6U1MVXOaj8PK2l7WJ3RER9xtqwdhxkhw/edit?usp=sharing"",""เพชรบุรี!M497"")"),0.0)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IFERROR(__xludf.DUMMYFUNCTION("IMPORTRANGE(""https://docs.google.com/spreadsheets/d/1SX6NBoVAgQJ6U1MVXOaj8PK2l7WJ3RER9xtqwdhxkhw/edit?usp=sharing"",""เพชรบุรี!M498"")"),0.0)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IFERROR(__xludf.DUMMYFUNCTION("IMPORTRANGE(""https://docs.google.com/spreadsheets/d/1SX6NBoVAgQJ6U1MVXOaj8PK2l7WJ3RER9xtqwdhxkhw/edit?usp=sharing"",""เพชรบุรี!M499"")"),0.0)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IFERROR(__xludf.DUMMYFUNCTION("IMPORTRANGE(""https://docs.google.com/spreadsheets/d/1SX6NBoVAgQJ6U1MVXOaj8PK2l7WJ3RER9xtqwdhxkhw/edit?usp=sharing"",""เพชรบุรี!M500"")"),950.0)</f>
        <v>950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IFERROR(__xludf.DUMMYFUNCTION("IMPORTRANGE(""https://docs.google.com/spreadsheets/d/1SX6NBoVAgQJ6U1MVXOaj8PK2l7WJ3RER9xtqwdhxkhw/edit?usp=sharing"",""เพชรบุรี!J502"")"),0.0)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IFERROR(__xludf.DUMMYFUNCTION("IMPORTRANGE(""https://docs.google.com/spreadsheets/d/1SX6NBoVAgQJ6U1MVXOaj8PK2l7WJ3RER9xtqwdhxkhw/edit?usp=sharing"",""เพชรบุรี!J503"")"),1.0)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IFERROR(__xludf.DUMMYFUNCTION("IMPORTRANGE(""https://docs.google.com/spreadsheets/d/1SX6NBoVAgQJ6U1MVXOaj8PK2l7WJ3RER9xtqwdhxkhw/edit?usp=sharing"",""เพชรบุรี!J166"")"),0.0)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IFERROR(__xludf.DUMMYFUNCTION("IMPORTRANGE(""https://docs.google.com/spreadsheets/d/1SX6NBoVAgQJ6U1MVXOaj8PK2l7WJ3RER9xtqwdhxkhw/edit?usp=sharing"",""เพชรบุรี!J166"")"),0.0)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IFERROR(__xludf.DUMMYFUNCTION("IMPORTRANGE(""https://docs.google.com/spreadsheets/d/1SX6NBoVAgQJ6U1MVXOaj8PK2l7WJ3RER9xtqwdhxkhw/edit?usp=sharing"",""เพชรบุรี!I506"")"),50.0)</f>
        <v>50</v>
      </c>
      <c r="J611" s="195">
        <f>IFERROR(__xludf.DUMMYFUNCTION("IMPORTRANGE(""https://docs.google.com/spreadsheets/d/1SX6NBoVAgQJ6U1MVXOaj8PK2l7WJ3RER9xtqwdhxkhw/edit?usp=sharing"",""เพชรบุรี!J506"")"),0.0)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IFERROR(__xludf.DUMMYFUNCTION("IMPORTRANGE(""https://docs.google.com/spreadsheets/d/1SX6NBoVAgQJ6U1MVXOaj8PK2l7WJ3RER9xtqwdhxkhw/edit?usp=sharing"",""เพชรบุรี!I507"")"),0.0)</f>
        <v>0</v>
      </c>
      <c r="J612" s="232">
        <f>IFERROR(__xludf.DUMMYFUNCTION("IMPORTRANGE(""https://docs.google.com/spreadsheets/d/1SX6NBoVAgQJ6U1MVXOaj8PK2l7WJ3RER9xtqwdhxkhw/edit?usp=sharing"",""เพชรบุรี!J507"")"),0.0)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IFERROR(__xludf.DUMMYFUNCTION("IMPORTRANGE(""https://docs.google.com/spreadsheets/d/1SX6NBoVAgQJ6U1MVXOaj8PK2l7WJ3RER9xtqwdhxkhw/edit?usp=sharing"",""เพชรบุรี!I508"")"),0.0)</f>
        <v>0</v>
      </c>
      <c r="J613" s="232">
        <f>IFERROR(__xludf.DUMMYFUNCTION("IMPORTRANGE(""https://docs.google.com/spreadsheets/d/1SX6NBoVAgQJ6U1MVXOaj8PK2l7WJ3RER9xtqwdhxkhw/edit?usp=sharing"",""เพชรบุรี!J508"")"),0.0)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IFERROR(__xludf.DUMMYFUNCTION("IMPORTRANGE(""https://docs.google.com/spreadsheets/d/1SX6NBoVAgQJ6U1MVXOaj8PK2l7WJ3RER9xtqwdhxkhw/edit?usp=sharing"",""เพชรบุรี!I509"")"),0.0)</f>
        <v>0</v>
      </c>
      <c r="J614" s="232">
        <f>IFERROR(__xludf.DUMMYFUNCTION("IMPORTRANGE(""https://docs.google.com/spreadsheets/d/1SX6NBoVAgQJ6U1MVXOaj8PK2l7WJ3RER9xtqwdhxkhw/edit?usp=sharing"",""เพชรบุรี!J509"")"),0.0)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IFERROR(__xludf.DUMMYFUNCTION("IMPORTRANGE(""https://docs.google.com/spreadsheets/d/1SX6NBoVAgQJ6U1MVXOaj8PK2l7WJ3RER9xtqwdhxkhw/edit?usp=sharing"",""เพชรบุรี!I510"")"),0.0)</f>
        <v>0</v>
      </c>
      <c r="J615" s="232">
        <f>IFERROR(__xludf.DUMMYFUNCTION("IMPORTRANGE(""https://docs.google.com/spreadsheets/d/1SX6NBoVAgQJ6U1MVXOaj8PK2l7WJ3RER9xtqwdhxkhw/edit?usp=sharing"",""เพชรบุรี!J510"")"),0.0)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IFERROR(__xludf.DUMMYFUNCTION("IMPORTRANGE(""https://docs.google.com/spreadsheets/d/1SX6NBoVAgQJ6U1MVXOaj8PK2l7WJ3RER9xtqwdhxkhw/edit?usp=sharing"",""เพชรบุรี!I511"")"),0.0)</f>
        <v>0</v>
      </c>
      <c r="J616" s="232">
        <f>IFERROR(__xludf.DUMMYFUNCTION("IMPORTRANGE(""https://docs.google.com/spreadsheets/d/1SX6NBoVAgQJ6U1MVXOaj8PK2l7WJ3RER9xtqwdhxkhw/edit?usp=sharing"",""เพชรบุรี!J511"")"),0.0)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IFERROR(__xludf.DUMMYFUNCTION("IMPORTRANGE(""https://docs.google.com/spreadsheets/d/1SX6NBoVAgQJ6U1MVXOaj8PK2l7WJ3RER9xtqwdhxkhw/edit?usp=sharing"",""เพชรบุรี!I512"")"),0.0)</f>
        <v>0</v>
      </c>
      <c r="J617" s="222">
        <f>IFERROR(__xludf.DUMMYFUNCTION("IMPORTRANGE(""https://docs.google.com/spreadsheets/d/1SX6NBoVAgQJ6U1MVXOaj8PK2l7WJ3RER9xtqwdhxkhw/edit?usp=sharing"",""เพชรบุรี!J512"")"),0.0)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IFERROR(__xludf.DUMMYFUNCTION("IMPORTRANGE(""https://docs.google.com/spreadsheets/d/1SX6NBoVAgQJ6U1MVXOaj8PK2l7WJ3RER9xtqwdhxkhw/edit?usp=sharing"",""เพชรบุรี!I513"")"),0.0)</f>
        <v>0</v>
      </c>
      <c r="J618" s="223">
        <f>IFERROR(__xludf.DUMMYFUNCTION("IMPORTRANGE(""https://docs.google.com/spreadsheets/d/1SX6NBoVAgQJ6U1MVXOaj8PK2l7WJ3RER9xtqwdhxkhw/edit?usp=sharing"",""เพชรบุรี!J513"")"),0.0)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IFERROR(__xludf.DUMMYFUNCTION("IMPORTRANGE(""https://docs.google.com/spreadsheets/d/1SX6NBoVAgQJ6U1MVXOaj8PK2l7WJ3RER9xtqwdhxkhw/edit?usp=sharing"",""เพชรบุรี!I514"")"),0.0)</f>
        <v>0</v>
      </c>
      <c r="J619" s="223">
        <f>IFERROR(__xludf.DUMMYFUNCTION("IMPORTRANGE(""https://docs.google.com/spreadsheets/d/1SX6NBoVAgQJ6U1MVXOaj8PK2l7WJ3RER9xtqwdhxkhw/edit?usp=sharing"",""เพชรบุรี!J514"")"),0.0)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IFERROR(__xludf.DUMMYFUNCTION("IMPORTRANGE(""https://docs.google.com/spreadsheets/d/1SX6NBoVAgQJ6U1MVXOaj8PK2l7WJ3RER9xtqwdhxkhw/edit?usp=sharing"",""เพชรบุรี!I515"")"),0.0)</f>
        <v>0</v>
      </c>
      <c r="J620" s="237">
        <f>IFERROR(__xludf.DUMMYFUNCTION("IMPORTRANGE(""https://docs.google.com/spreadsheets/d/1SX6NBoVAgQJ6U1MVXOaj8PK2l7WJ3RER9xtqwdhxkhw/edit?usp=sharing"",""เพชรบุรี!J515"")"),0.0)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IFERROR(__xludf.DUMMYFUNCTION("IMPORTRANGE(""https://docs.google.com/spreadsheets/d/1SX6NBoVAgQJ6U1MVXOaj8PK2l7WJ3RER9xtqwdhxkhw/edit?usp=sharing"",""เพชรบุรี!I516"")"),0.0)</f>
        <v>0</v>
      </c>
      <c r="J621" s="237">
        <f>IFERROR(__xludf.DUMMYFUNCTION("IMPORTRANGE(""https://docs.google.com/spreadsheets/d/1SX6NBoVAgQJ6U1MVXOaj8PK2l7WJ3RER9xtqwdhxkhw/edit?usp=sharing"",""เพชรบุรี!J516"")"),0.0)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IFERROR(__xludf.DUMMYFUNCTION("IMPORTRANGE(""https://docs.google.com/spreadsheets/d/1SX6NBoVAgQJ6U1MVXOaj8PK2l7WJ3RER9xtqwdhxkhw/edit?usp=sharing"",""เพชรบุรี!I517"")"),0.0)</f>
        <v>0</v>
      </c>
      <c r="J622" s="223">
        <f>IFERROR(__xludf.DUMMYFUNCTION("IMPORTRANGE(""https://docs.google.com/spreadsheets/d/1SX6NBoVAgQJ6U1MVXOaj8PK2l7WJ3RER9xtqwdhxkhw/edit?usp=sharing"",""เพชรบุรี!J517"")"),0.0)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IFERROR(__xludf.DUMMYFUNCTION("IMPORTRANGE(""https://docs.google.com/spreadsheets/d/1SX6NBoVAgQJ6U1MVXOaj8PK2l7WJ3RER9xtqwdhxkhw/edit?usp=sharing"",""เพชรบุรี!I518"")"),0.0)</f>
        <v>0</v>
      </c>
      <c r="J623" s="223">
        <f>IFERROR(__xludf.DUMMYFUNCTION("IMPORTRANGE(""https://docs.google.com/spreadsheets/d/1SX6NBoVAgQJ6U1MVXOaj8PK2l7WJ3RER9xtqwdhxkhw/edit?usp=sharing"",""เพชรบุรี!J518"")"),0.0)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IFERROR(__xludf.DUMMYFUNCTION("IMPORTRANGE(""https://docs.google.com/spreadsheets/d/1SX6NBoVAgQJ6U1MVXOaj8PK2l7WJ3RER9xtqwdhxkhw/edit?usp=sharing"",""เพชรบุรี!I519"")"),0.0)</f>
        <v>0</v>
      </c>
      <c r="J624" s="222">
        <f>IFERROR(__xludf.DUMMYFUNCTION("IMPORTRANGE(""https://docs.google.com/spreadsheets/d/1SX6NBoVAgQJ6U1MVXOaj8PK2l7WJ3RER9xtqwdhxkhw/edit?usp=sharing"",""เพชรบุรี!J519"")"),0.0)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IFERROR(__xludf.DUMMYFUNCTION("IMPORTRANGE(""https://docs.google.com/spreadsheets/d/1SX6NBoVAgQJ6U1MVXOaj8PK2l7WJ3RER9xtqwdhxkhw/edit?usp=sharing"",""เพชรบุรี!I520"")"),0.0)</f>
        <v>0</v>
      </c>
      <c r="J625" s="223">
        <f>IFERROR(__xludf.DUMMYFUNCTION("IMPORTRANGE(""https://docs.google.com/spreadsheets/d/1SX6NBoVAgQJ6U1MVXOaj8PK2l7WJ3RER9xtqwdhxkhw/edit?usp=sharing"",""เพชรบุรี!J520"")"),0.0)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IFERROR(__xludf.DUMMYFUNCTION("IMPORTRANGE(""https://docs.google.com/spreadsheets/d/1SX6NBoVAgQJ6U1MVXOaj8PK2l7WJ3RER9xtqwdhxkhw/edit?usp=sharing"",""เพชรบุรี!I521"")"),0.0)</f>
        <v>0</v>
      </c>
      <c r="J626" s="223">
        <f>IFERROR(__xludf.DUMMYFUNCTION("IMPORTRANGE(""https://docs.google.com/spreadsheets/d/1SX6NBoVAgQJ6U1MVXOaj8PK2l7WJ3RER9xtqwdhxkhw/edit?usp=sharing"",""เพชรบุรี!J521"")"),0.0)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IFERROR(__xludf.DUMMYFUNCTION("IMPORTRANGE(""https://docs.google.com/spreadsheets/d/1SX6NBoVAgQJ6U1MVXOaj8PK2l7WJ3RER9xtqwdhxkhw/edit?usp=sharing"",""เพชรบุรี!I523"")"),1148779.43)</f>
        <v>1148779.43</v>
      </c>
      <c r="J628" s="374">
        <f>IFERROR(__xludf.DUMMYFUNCTION("IMPORTRANGE(""https://docs.google.com/spreadsheets/d/1SX6NBoVAgQJ6U1MVXOaj8PK2l7WJ3RER9xtqwdhxkhw/edit?usp=sharing"",""เพชรบุรี!J523"")"),43156.21)</f>
        <v>43156.21</v>
      </c>
      <c r="K628" s="375">
        <f t="shared" ref="K628:K635" si="130">IF(I628&gt;0,J628*100/I628,0)</f>
        <v>3.756701145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IFERROR(__xludf.DUMMYFUNCTION("IMPORTRANGE(""https://docs.google.com/spreadsheets/d/1SX6NBoVAgQJ6U1MVXOaj8PK2l7WJ3RER9xtqwdhxkhw/edit?usp=sharing"",""เพชรบุรี!I524"")"),86.0)</f>
        <v>86</v>
      </c>
      <c r="J629" s="374">
        <f>IFERROR(__xludf.DUMMYFUNCTION("IMPORTRANGE(""https://docs.google.com/spreadsheets/d/1SX6NBoVAgQJ6U1MVXOaj8PK2l7WJ3RER9xtqwdhxkhw/edit?usp=sharing"",""เพชรบุรี!J524"")"),3.0)</f>
        <v>3</v>
      </c>
      <c r="K629" s="375">
        <f t="shared" si="130"/>
        <v>3.488372093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IFERROR(__xludf.DUMMYFUNCTION("IMPORTRANGE(""https://docs.google.com/spreadsheets/d/1SX6NBoVAgQJ6U1MVXOaj8PK2l7WJ3RER9xtqwdhxkhw/edit?usp=sharing"",""เพชรบุรี!I525"")"),486349.02)</f>
        <v>486349.02</v>
      </c>
      <c r="J630" s="374">
        <f>IFERROR(__xludf.DUMMYFUNCTION("IMPORTRANGE(""https://docs.google.com/spreadsheets/d/1SX6NBoVAgQJ6U1MVXOaj8PK2l7WJ3RER9xtqwdhxkhw/edit?usp=sharing"",""เพชรบุรี!J525"")"),19852.05)</f>
        <v>19852.05</v>
      </c>
      <c r="K630" s="375">
        <f t="shared" si="130"/>
        <v>4.081852576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IFERROR(__xludf.DUMMYFUNCTION("IMPORTRANGE(""https://docs.google.com/spreadsheets/d/1SX6NBoVAgQJ6U1MVXOaj8PK2l7WJ3RER9xtqwdhxkhw/edit?usp=sharing"",""เพชรบุรี!I526"")"),21.0)</f>
        <v>21</v>
      </c>
      <c r="J631" s="374">
        <f>IFERROR(__xludf.DUMMYFUNCTION("IMPORTRANGE(""https://docs.google.com/spreadsheets/d/1SX6NBoVAgQJ6U1MVXOaj8PK2l7WJ3RER9xtqwdhxkhw/edit?usp=sharing"",""เพชรบุรี!J526"")"),7.0)</f>
        <v>7</v>
      </c>
      <c r="K631" s="375">
        <f t="shared" si="130"/>
        <v>33.33333333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IFERROR(__xludf.DUMMYFUNCTION("IMPORTRANGE(""https://docs.google.com/spreadsheets/d/1SX6NBoVAgQJ6U1MVXOaj8PK2l7WJ3RER9xtqwdhxkhw/edit?usp=sharing"",""เพชรบุรี!I527"")"),1118.75)</f>
        <v>1118.75</v>
      </c>
      <c r="J632" s="374">
        <f>IFERROR(__xludf.DUMMYFUNCTION("IMPORTRANGE(""https://docs.google.com/spreadsheets/d/1SX6NBoVAgQJ6U1MVXOaj8PK2l7WJ3RER9xtqwdhxkhw/edit?usp=sharing"",""เพชรบุรี!J527"")"),133195.28)</f>
        <v>133195.28</v>
      </c>
      <c r="K632" s="375">
        <f t="shared" si="130"/>
        <v>11905.72335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IFERROR(__xludf.DUMMYFUNCTION("IMPORTRANGE(""https://docs.google.com/spreadsheets/d/1SX6NBoVAgQJ6U1MVXOaj8PK2l7WJ3RER9xtqwdhxkhw/edit?usp=sharing"",""เพชรบุรี!I528"")"),1.0)</f>
        <v>1</v>
      </c>
      <c r="J633" s="374">
        <f>IFERROR(__xludf.DUMMYFUNCTION("IMPORTRANGE(""https://docs.google.com/spreadsheets/d/1SX6NBoVAgQJ6U1MVXOaj8PK2l7WJ3RER9xtqwdhxkhw/edit?usp=sharing"",""เพชรบุรี!J528"")"),6.0)</f>
        <v>6</v>
      </c>
      <c r="K633" s="375">
        <f t="shared" si="130"/>
        <v>600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IFERROR(__xludf.DUMMYFUNCTION("IMPORTRANGE(""https://docs.google.com/spreadsheets/d/1SX6NBoVAgQJ6U1MVXOaj8PK2l7WJ3RER9xtqwdhxkhw/edit?usp=sharing"",""เพชรบุรี!I529"")"),1200000.0)</f>
        <v>1200000</v>
      </c>
      <c r="J634" s="374">
        <f>IFERROR(__xludf.DUMMYFUNCTION("IMPORTRANGE(""https://docs.google.com/spreadsheets/d/1SX6NBoVAgQJ6U1MVXOaj8PK2l7WJ3RER9xtqwdhxkhw/edit?usp=sharing"",""เพชรบุรี!J529"")"),0.0)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IFERROR(__xludf.DUMMYFUNCTION("IMPORTRANGE(""https://docs.google.com/spreadsheets/d/1SX6NBoVAgQJ6U1MVXOaj8PK2l7WJ3RER9xtqwdhxkhw/edit?usp=sharing"",""เพชรบุรี!I530"")"),27.0)</f>
        <v>27</v>
      </c>
      <c r="J635" s="544">
        <f>IFERROR(__xludf.DUMMYFUNCTION("IMPORTRANGE(""https://docs.google.com/spreadsheets/d/1SX6NBoVAgQJ6U1MVXOaj8PK2l7WJ3RER9xtqwdhxkhw/edit?usp=sharing"",""เพชรบุรี!J530"")"),0.0)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265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3081894</v>
      </c>
      <c r="M8" s="41">
        <f t="shared" si="1"/>
        <v>970475</v>
      </c>
      <c r="N8" s="41">
        <f t="shared" si="1"/>
        <v>621785</v>
      </c>
      <c r="O8" s="40">
        <f t="shared" ref="O8:O16" si="3">IF(L8&gt;0,N8*100/L8,0)</f>
        <v>20.1754181</v>
      </c>
      <c r="P8" s="40">
        <f t="shared" ref="P8:P16" si="4">IF(M8&gt;0,N8*100/M8,0)</f>
        <v>64.07017182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3081894</v>
      </c>
      <c r="M10" s="48">
        <f t="shared" si="5"/>
        <v>970475</v>
      </c>
      <c r="N10" s="48">
        <f t="shared" si="5"/>
        <v>621785</v>
      </c>
      <c r="O10" s="47">
        <f t="shared" si="3"/>
        <v>20.1754181</v>
      </c>
      <c r="P10" s="47">
        <f t="shared" si="4"/>
        <v>64.07017182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2934894</v>
      </c>
      <c r="M12" s="58">
        <f t="shared" si="7"/>
        <v>970475</v>
      </c>
      <c r="N12" s="58">
        <f t="shared" si="7"/>
        <v>474785</v>
      </c>
      <c r="O12" s="58">
        <f t="shared" si="3"/>
        <v>16.17724524</v>
      </c>
      <c r="P12" s="58">
        <f t="shared" si="4"/>
        <v>48.9229501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1207000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1727894</v>
      </c>
      <c r="M14" s="58">
        <f t="shared" si="9"/>
        <v>0</v>
      </c>
      <c r="N14" s="58">
        <f t="shared" si="9"/>
        <v>48743</v>
      </c>
      <c r="O14" s="61">
        <f t="shared" si="3"/>
        <v>2.820948507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147000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1996045</v>
      </c>
      <c r="M18" s="41">
        <f t="shared" si="12"/>
        <v>970475</v>
      </c>
      <c r="N18" s="41">
        <f t="shared" si="12"/>
        <v>573042</v>
      </c>
      <c r="O18" s="40">
        <f t="shared" ref="O18:O20" si="14">IF(L18&gt;0,N18*100/L18,0)</f>
        <v>28.70887179</v>
      </c>
      <c r="P18" s="40">
        <f t="shared" ref="P18:P26" si="15">IF(M18&gt;0,N18*100/M18,0)</f>
        <v>59.04757979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1996045</v>
      </c>
      <c r="M20" s="48">
        <f t="shared" si="16"/>
        <v>970475</v>
      </c>
      <c r="N20" s="48">
        <f t="shared" si="16"/>
        <v>573042</v>
      </c>
      <c r="O20" s="47">
        <f t="shared" si="14"/>
        <v>28.70887179</v>
      </c>
      <c r="P20" s="47">
        <f t="shared" si="15"/>
        <v>59.04757979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1849045</v>
      </c>
      <c r="M22" s="62">
        <f t="shared" si="18"/>
        <v>970475</v>
      </c>
      <c r="N22" s="61">
        <f t="shared" si="18"/>
        <v>426042</v>
      </c>
      <c r="O22" s="61">
        <f t="shared" si="19"/>
        <v>23.04119153</v>
      </c>
      <c r="P22" s="61">
        <f t="shared" si="15"/>
        <v>43.90035807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1207000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642045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147000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1085849</v>
      </c>
      <c r="M28" s="41">
        <f t="shared" si="24"/>
        <v>0</v>
      </c>
      <c r="N28" s="41">
        <f t="shared" si="24"/>
        <v>48743</v>
      </c>
      <c r="O28" s="40">
        <f t="shared" ref="O28:O30" si="26">IF(L28&gt;0,N28*100/L28,0)</f>
        <v>4.48892986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1085849</v>
      </c>
      <c r="M30" s="48">
        <f t="shared" si="28"/>
        <v>0</v>
      </c>
      <c r="N30" s="48">
        <f t="shared" si="28"/>
        <v>48743</v>
      </c>
      <c r="O30" s="47">
        <f t="shared" si="26"/>
        <v>4.48892986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1085849</v>
      </c>
      <c r="M32" s="61">
        <f t="shared" si="30"/>
        <v>0</v>
      </c>
      <c r="N32" s="61">
        <f t="shared" si="30"/>
        <v>48743</v>
      </c>
      <c r="O32" s="61">
        <f t="shared" si="31"/>
        <v>4.48892986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1085849</v>
      </c>
      <c r="M34" s="61">
        <f t="shared" si="33"/>
        <v>0</v>
      </c>
      <c r="N34" s="61">
        <f t="shared" si="33"/>
        <v>48743</v>
      </c>
      <c r="O34" s="61">
        <f t="shared" si="31"/>
        <v>4.48892986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1996045</v>
      </c>
      <c r="M37" s="75">
        <f t="shared" si="34"/>
        <v>970475</v>
      </c>
      <c r="N37" s="75">
        <f t="shared" si="34"/>
        <v>573042</v>
      </c>
      <c r="O37" s="76">
        <f t="shared" si="31"/>
        <v>28.70887179</v>
      </c>
      <c r="P37" s="76">
        <f t="shared" si="27"/>
        <v>59.04757979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313800</v>
      </c>
      <c r="M41" s="102">
        <f t="shared" si="35"/>
        <v>163900</v>
      </c>
      <c r="N41" s="102">
        <f t="shared" si="35"/>
        <v>95094</v>
      </c>
      <c r="O41" s="101">
        <f t="shared" ref="O41:O43" si="37">IF(L41&gt;0,N41*100/L41,0)</f>
        <v>30.3040153</v>
      </c>
      <c r="P41" s="101">
        <f t="shared" ref="P41:P43" si="38">IF(M41&gt;0,N41*100/M41,0)</f>
        <v>58.0195241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313800</v>
      </c>
      <c r="M43" s="102">
        <f t="shared" si="39"/>
        <v>163900</v>
      </c>
      <c r="N43" s="102">
        <f t="shared" si="39"/>
        <v>95094</v>
      </c>
      <c r="O43" s="101">
        <f t="shared" si="37"/>
        <v>30.3040153</v>
      </c>
      <c r="P43" s="101">
        <f t="shared" si="38"/>
        <v>58.0195241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313800</v>
      </c>
      <c r="M45" s="70">
        <f>IFERROR(__xludf.DUMMYFUNCTION("IMPORTRANGE(""https://docs.google.com/spreadsheets/d/1Yj_ptqi66GCucihVvJfMjLAmec39IyEx_6qawtMGysU/edit?usp=sharing"",""สบก!Q72"")"),163900.0)</f>
        <v>163900</v>
      </c>
      <c r="N45" s="70">
        <f>IFERROR(__xludf.DUMMYFUNCTION("IMPORTRANGE(""https://docs.google.com/spreadsheets/d/1Yj_ptqi66GCucihVvJfMjLAmec39IyEx_6qawtMGysU/edit?usp=sharing"",""สบก!R72"")"),95094.0)</f>
        <v>95094</v>
      </c>
      <c r="O45" s="61">
        <f>IF(L45&gt;0,N45*100/L45,0)</f>
        <v>30.3040153</v>
      </c>
      <c r="P45" s="61">
        <f>IF(M45&gt;0,N45*100/M45,0)</f>
        <v>58.0195241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IFERROR(__xludf.DUMMYFUNCTION("IMPORTRANGE(""https://docs.google.com/spreadsheets/d/1Yj_ptqi66GCucihVvJfMjLAmec39IyEx_6qawtMGysU/edit?usp=sharing"",""สบก!M72"")"),313800.0)</f>
        <v>313800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IFERROR(__xludf.DUMMYFUNCTION("IMPORTRANGE(""https://docs.google.com/spreadsheets/d/1Yj_ptqi66GCucihVvJfMjLAmec39IyEx_6qawtMGysU/edit?usp=sharing"",""สบก!N72"")"),0.0)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IFERROR(__xludf.DUMMYFUNCTION("IMPORTRANGE(""https://docs.google.com/spreadsheets/d/1Yj_ptqi66GCucihVvJfMjLAmec39IyEx_6qawtMGysU/edit?usp=sharing"",""สบก!O72"")"),0.0)</f>
        <v>0</v>
      </c>
      <c r="M49" s="70"/>
      <c r="N49" s="70">
        <f>IFERROR(__xludf.DUMMYFUNCTION("IMPORTRANGE(""https://docs.google.com/spreadsheets/d/1Yj_ptqi66GCucihVvJfMjLAmec39IyEx_6qawtMGysU/edit?usp=sharing"",""สบก!S72"")"),0.0)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280000</v>
      </c>
      <c r="M53" s="151">
        <f t="shared" si="40"/>
        <v>144140</v>
      </c>
      <c r="N53" s="151">
        <f t="shared" si="40"/>
        <v>97186</v>
      </c>
      <c r="O53" s="150">
        <f t="shared" ref="O53:O55" si="42">IF(L53&gt;0,N53*100/L53,0)</f>
        <v>34.70928571</v>
      </c>
      <c r="P53" s="150">
        <f t="shared" ref="P53:P55" si="43">IF(M53&gt;0,N53*100/M53,0)</f>
        <v>67.42472596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280000</v>
      </c>
      <c r="M55" s="151">
        <f t="shared" si="44"/>
        <v>144140</v>
      </c>
      <c r="N55" s="151">
        <f t="shared" si="44"/>
        <v>97186</v>
      </c>
      <c r="O55" s="150">
        <f t="shared" si="42"/>
        <v>34.70928571</v>
      </c>
      <c r="P55" s="150">
        <f t="shared" si="43"/>
        <v>67.42472596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280000</v>
      </c>
      <c r="M57" s="70">
        <f>IFERROR(__xludf.DUMMYFUNCTION("IMPORTRANGE(""https://docs.google.com/spreadsheets/d/1Yj_ptqi66GCucihVvJfMjLAmec39IyEx_6qawtMGysU/edit?usp=sharing"",""สบก!Z72"")"),144140.0)</f>
        <v>144140</v>
      </c>
      <c r="N57" s="70">
        <f>IFERROR(__xludf.DUMMYFUNCTION("IMPORTRANGE(""https://docs.google.com/spreadsheets/d/1Yj_ptqi66GCucihVvJfMjLAmec39IyEx_6qawtMGysU/edit?usp=sharing"",""สบก!AA72"")"),97186.0)</f>
        <v>97186</v>
      </c>
      <c r="O57" s="61">
        <f>IF(L57&gt;0,N57*100/L57,0)</f>
        <v>34.70928571</v>
      </c>
      <c r="P57" s="61">
        <f>IF(M57&gt;0,N57*100/M57,0)</f>
        <v>67.42472596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IFERROR(__xludf.DUMMYFUNCTION("IMPORTRANGE(""https://docs.google.com/spreadsheets/d/1Yj_ptqi66GCucihVvJfMjLAmec39IyEx_6qawtMGysU/edit?usp=sharing"",""สบก!V72"")"),280000.0)</f>
        <v>280000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IFERROR(__xludf.DUMMYFUNCTION("IMPORTRANGE(""https://docs.google.com/spreadsheets/d/1Yj_ptqi66GCucihVvJfMjLAmec39IyEx_6qawtMGysU/edit?usp=sharing"",""สบก!W72"")"),0.0)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IFERROR(__xludf.DUMMYFUNCTION("IMPORTRANGE(""https://docs.google.com/spreadsheets/d/1Yj_ptqi66GCucihVvJfMjLAmec39IyEx_6qawtMGysU/edit?usp=sharing"",""สบก!X72"")"),0.0)</f>
        <v>0</v>
      </c>
      <c r="M61" s="70"/>
      <c r="N61" s="70">
        <f>IFERROR(__xludf.DUMMYFUNCTION("IMPORTRANGE(""https://docs.google.com/spreadsheets/d/1Yj_ptqi66GCucihVvJfMjLAmec39IyEx_6qawtMGysU/edit?usp=sharing"",""สบก!AB72"")"),0.0)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IFERROR(__xludf.DUMMYFUNCTION("IMPORTRANGE(""https://docs.google.com/spreadsheets/d/1SX6NBoVAgQJ6U1MVXOaj8PK2l7WJ3RER9xtqwdhxkhw/edit?usp=sharing"",""ระยอง!I9"")"),0.0)</f>
        <v>0</v>
      </c>
      <c r="J64" s="172">
        <f>IFERROR(__xludf.DUMMYFUNCTION("IMPORTRANGE(""https://docs.google.com/spreadsheets/d/1SX6NBoVAgQJ6U1MVXOaj8PK2l7WJ3RER9xtqwdhxkhw/edit?usp=sharing"",""ระยอง!J9"")"),0.0)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IFERROR(__xludf.DUMMYFUNCTION("IMPORTRANGE(""https://docs.google.com/spreadsheets/d/1SX6NBoVAgQJ6U1MVXOaj8PK2l7WJ3RER9xtqwdhxkhw/edit?usp=sharing"",""ระยอง!I10"")"),0.0)</f>
        <v>0</v>
      </c>
      <c r="J65" s="172">
        <f>IFERROR(__xludf.DUMMYFUNCTION("IMPORTRANGE(""https://docs.google.com/spreadsheets/d/1SX6NBoVAgQJ6U1MVXOaj8PK2l7WJ3RER9xtqwdhxkhw/edit?usp=sharing"",""ระยอง!J10"")"),0.0)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IFERROR(__xludf.DUMMYFUNCTION("IMPORTRANGE(""https://docs.google.com/spreadsheets/d/1Yj_ptqi66GCucihVvJfMjLAmec39IyEx_6qawtMGysU/edit?usp=sharing"",""สบก!AI72"")"),0.0)</f>
        <v>0</v>
      </c>
      <c r="N70" s="203">
        <f>IFERROR(__xludf.DUMMYFUNCTION("IMPORTRANGE(""https://docs.google.com/spreadsheets/d/1Yj_ptqi66GCucihVvJfMjLAmec39IyEx_6qawtMGysU/edit?usp=sharing"",""สบก!AJ72"")"),0.0)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IFERROR(__xludf.DUMMYFUNCTION("IMPORTRANGE(""https://docs.google.com/spreadsheets/d/1Yj_ptqi66GCucihVvJfMjLAmec39IyEx_6qawtMGysU/edit?usp=sharing"",""สบก!AE72"")"),0.0)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IFERROR(__xludf.DUMMYFUNCTION("IMPORTRANGE(""https://docs.google.com/spreadsheets/d/1Yj_ptqi66GCucihVvJfMjLAmec39IyEx_6qawtMGysU/edit?usp=sharing"",""สบก!AF72"")"),0.0)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IFERROR(__xludf.DUMMYFUNCTION("IMPORTRANGE(""https://docs.google.com/spreadsheets/d/1Yj_ptqi66GCucihVvJfMjLAmec39IyEx_6qawtMGysU/edit?usp=sharing"",""สบก!AG72"")"),0.0)</f>
        <v>0</v>
      </c>
      <c r="M74" s="70"/>
      <c r="N74" s="70">
        <f>IFERROR(__xludf.DUMMYFUNCTION("IMPORTRANGE(""https://docs.google.com/spreadsheets/d/1Yj_ptqi66GCucihVvJfMjLAmec39IyEx_6qawtMGysU/edit?usp=sharing"",""สบก!AK72"")"),0.0)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IFERROR(__xludf.DUMMYFUNCTION("IMPORTRANGE(""https://docs.google.com/spreadsheets/d/1SX6NBoVAgQJ6U1MVXOaj8PK2l7WJ3RER9xtqwdhxkhw/edit?usp=sharing"",""ระยอง!J16"")"),0.0)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IFERROR(__xludf.DUMMYFUNCTION("IMPORTRANGE(""https://docs.google.com/spreadsheets/d/1SX6NBoVAgQJ6U1MVXOaj8PK2l7WJ3RER9xtqwdhxkhw/edit?usp=sharing"",""ระยอง!J17"")"),0.0)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IFERROR(__xludf.DUMMYFUNCTION("IMPORTRANGE(""https://docs.google.com/spreadsheets/d/1SX6NBoVAgQJ6U1MVXOaj8PK2l7WJ3RER9xtqwdhxkhw/edit?usp=sharing"",""ระยอง!J18"")"),0.0)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IFERROR(__xludf.DUMMYFUNCTION("IMPORTRANGE(""https://docs.google.com/spreadsheets/d/1SX6NBoVAgQJ6U1MVXOaj8PK2l7WJ3RER9xtqwdhxkhw/edit?usp=sharing"",""ระยอง!J19"")"),0.0)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IFERROR(__xludf.DUMMYFUNCTION("IMPORTRANGE(""https://docs.google.com/spreadsheets/d/1SX6NBoVAgQJ6U1MVXOaj8PK2l7WJ3RER9xtqwdhxkhw/edit?usp=sharing"",""ระยอง!I20"")"),0.0)</f>
        <v>0</v>
      </c>
      <c r="J80" s="235">
        <f>IFERROR(__xludf.DUMMYFUNCTION("IMPORTRANGE(""https://docs.google.com/spreadsheets/d/1SX6NBoVAgQJ6U1MVXOaj8PK2l7WJ3RER9xtqwdhxkhw/edit?usp=sharing"",""ระยอง!J20"")"),0.0)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IFERROR(__xludf.DUMMYFUNCTION("IMPORTRANGE(""https://docs.google.com/spreadsheets/d/1SX6NBoVAgQJ6U1MVXOaj8PK2l7WJ3RER9xtqwdhxkhw/edit?usp=sharing"",""ระยอง!I21"")"),0.0)</f>
        <v>0</v>
      </c>
      <c r="J81" s="235">
        <f>IFERROR(__xludf.DUMMYFUNCTION("IMPORTRANGE(""https://docs.google.com/spreadsheets/d/1SX6NBoVAgQJ6U1MVXOaj8PK2l7WJ3RER9xtqwdhxkhw/edit?usp=sharing"",""ระยอง!J21"")"),0.0)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IFERROR(__xludf.DUMMYFUNCTION("IMPORTRANGE(""https://docs.google.com/spreadsheets/d/1SX6NBoVAgQJ6U1MVXOaj8PK2l7WJ3RER9xtqwdhxkhw/edit?usp=sharing"",""ระยอง!I22"")"),0.0)</f>
        <v>0</v>
      </c>
      <c r="J82" s="238">
        <f>IFERROR(__xludf.DUMMYFUNCTION("IMPORTRANGE(""https://docs.google.com/spreadsheets/d/1SX6NBoVAgQJ6U1MVXOaj8PK2l7WJ3RER9xtqwdhxkhw/edit?usp=sharing"",""ระยอง!J22"")"),0.0)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IFERROR(__xludf.DUMMYFUNCTION("IMPORTRANGE(""https://docs.google.com/spreadsheets/d/1SX6NBoVAgQJ6U1MVXOaj8PK2l7WJ3RER9xtqwdhxkhw/edit?usp=sharing"",""ระยอง!I23"")"),0.0)</f>
        <v>0</v>
      </c>
      <c r="J83" s="238">
        <f>IFERROR(__xludf.DUMMYFUNCTION("IMPORTRANGE(""https://docs.google.com/spreadsheets/d/1SX6NBoVAgQJ6U1MVXOaj8PK2l7WJ3RER9xtqwdhxkhw/edit?usp=sharing"",""ระยอง!J23"")"),0.0)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IFERROR(__xludf.DUMMYFUNCTION("IMPORTRANGE(""https://docs.google.com/spreadsheets/d/1SX6NBoVAgQJ6U1MVXOaj8PK2l7WJ3RER9xtqwdhxkhw/edit?usp=sharing"",""ระยอง!I24"")"),0.0)</f>
        <v>0</v>
      </c>
      <c r="J84" s="223">
        <f>IFERROR(__xludf.DUMMYFUNCTION("IMPORTRANGE(""https://docs.google.com/spreadsheets/d/1SX6NBoVAgQJ6U1MVXOaj8PK2l7WJ3RER9xtqwdhxkhw/edit?usp=sharing"",""ระยอง!J24"")"),0.0)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IFERROR(__xludf.DUMMYFUNCTION("IMPORTRANGE(""https://docs.google.com/spreadsheets/d/1SX6NBoVAgQJ6U1MVXOaj8PK2l7WJ3RER9xtqwdhxkhw/edit?usp=sharing"",""ระยอง!I25"")"),0.0)</f>
        <v>0</v>
      </c>
      <c r="J85" s="223">
        <f>IFERROR(__xludf.DUMMYFUNCTION("IMPORTRANGE(""https://docs.google.com/spreadsheets/d/1SX6NBoVAgQJ6U1MVXOaj8PK2l7WJ3RER9xtqwdhxkhw/edit?usp=sharing"",""ระยอง!J25"")"),0.0)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IFERROR(__xludf.DUMMYFUNCTION("IMPORTRANGE(""https://docs.google.com/spreadsheets/d/1SX6NBoVAgQJ6U1MVXOaj8PK2l7WJ3RER9xtqwdhxkhw/edit?usp=sharing"",""ระยอง!I26"")"),0.0)</f>
        <v>0</v>
      </c>
      <c r="J86" s="238">
        <f>IFERROR(__xludf.DUMMYFUNCTION("IMPORTRANGE(""https://docs.google.com/spreadsheets/d/1SX6NBoVAgQJ6U1MVXOaj8PK2l7WJ3RER9xtqwdhxkhw/edit?usp=sharing"",""ระยอง!J26"")"),0.0)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IFERROR(__xludf.DUMMYFUNCTION("IMPORTRANGE(""https://docs.google.com/spreadsheets/d/1SX6NBoVAgQJ6U1MVXOaj8PK2l7WJ3RER9xtqwdhxkhw/edit?usp=sharing"",""ระยอง!I27"")"),0.0)</f>
        <v>0</v>
      </c>
      <c r="J87" s="238">
        <f>IFERROR(__xludf.DUMMYFUNCTION("IMPORTRANGE(""https://docs.google.com/spreadsheets/d/1SX6NBoVAgQJ6U1MVXOaj8PK2l7WJ3RER9xtqwdhxkhw/edit?usp=sharing"",""ระยอง!J27"")"),0.0)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IFERROR(__xludf.DUMMYFUNCTION("IMPORTRANGE(""https://docs.google.com/spreadsheets/d/1SX6NBoVAgQJ6U1MVXOaj8PK2l7WJ3RER9xtqwdhxkhw/edit?usp=sharing"",""ระยอง!I28"")"),0.0)</f>
        <v>0</v>
      </c>
      <c r="J88" s="238">
        <f>IFERROR(__xludf.DUMMYFUNCTION("IMPORTRANGE(""https://docs.google.com/spreadsheets/d/1SX6NBoVAgQJ6U1MVXOaj8PK2l7WJ3RER9xtqwdhxkhw/edit?usp=sharing"",""ระยอง!J28"")"),0.0)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IFERROR(__xludf.DUMMYFUNCTION("IMPORTRANGE(""https://docs.google.com/spreadsheets/d/1SX6NBoVAgQJ6U1MVXOaj8PK2l7WJ3RER9xtqwdhxkhw/edit?usp=sharing"",""ระยอง!J29"")"),0.0)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IFERROR(__xludf.DUMMYFUNCTION("IMPORTRANGE(""https://docs.google.com/spreadsheets/d/1SX6NBoVAgQJ6U1MVXOaj8PK2l7WJ3RER9xtqwdhxkhw/edit?usp=sharing"",""ระยอง!J30"")"),0.0)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IFERROR(__xludf.DUMMYFUNCTION("IMPORTRANGE(""https://docs.google.com/spreadsheets/d/1SX6NBoVAgQJ6U1MVXOaj8PK2l7WJ3RER9xtqwdhxkhw/edit?usp=sharing"",""ระยอง!I32"")"),0.0)</f>
        <v>0</v>
      </c>
      <c r="J92" s="172">
        <f>IFERROR(__xludf.DUMMYFUNCTION("IMPORTRANGE(""https://docs.google.com/spreadsheets/d/1SX6NBoVAgQJ6U1MVXOaj8PK2l7WJ3RER9xtqwdhxkhw/edit?usp=sharing"",""ระยอง!J32"")"),0.0)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IFERROR(__xludf.DUMMYFUNCTION("IMPORTRANGE(""https://docs.google.com/spreadsheets/d/1SX6NBoVAgQJ6U1MVXOaj8PK2l7WJ3RER9xtqwdhxkhw/edit?usp=sharing"",""ระยอง!I33"")"),0.0)</f>
        <v>0</v>
      </c>
      <c r="J93" s="172">
        <f>IFERROR(__xludf.DUMMYFUNCTION("IMPORTRANGE(""https://docs.google.com/spreadsheets/d/1SX6NBoVAgQJ6U1MVXOaj8PK2l7WJ3RER9xtqwdhxkhw/edit?usp=sharing"",""ระยอง!J33"")"),0.0)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IFERROR(__xludf.DUMMYFUNCTION("IMPORTRANGE(""https://docs.google.com/spreadsheets/d/1Yj_ptqi66GCucihVvJfMjLAmec39IyEx_6qawtMGysU/edit?usp=sharing"",""สบก!AR72"")"),0.0)</f>
        <v>0</v>
      </c>
      <c r="N98" s="203">
        <f>IFERROR(__xludf.DUMMYFUNCTION("IMPORTRANGE(""https://docs.google.com/spreadsheets/d/1Yj_ptqi66GCucihVvJfMjLAmec39IyEx_6qawtMGysU/edit?usp=sharing"",""สบก!AS72"")"),0.0)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IFERROR(__xludf.DUMMYFUNCTION("IMPORTRANGE(""https://docs.google.com/spreadsheets/d/1Yj_ptqi66GCucihVvJfMjLAmec39IyEx_6qawtMGysU/edit?usp=sharing"",""สบก!AN72"")"),0.0)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IFERROR(__xludf.DUMMYFUNCTION("IMPORTRANGE(""https://docs.google.com/spreadsheets/d/1Yj_ptqi66GCucihVvJfMjLAmec39IyEx_6qawtMGysU/edit?usp=sharing"",""สบก!AO72"")"),0.0)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IFERROR(__xludf.DUMMYFUNCTION("IMPORTRANGE(""https://docs.google.com/spreadsheets/d/1Yj_ptqi66GCucihVvJfMjLAmec39IyEx_6qawtMGysU/edit?usp=sharing"",""สบก!AP72"")"),0.0)</f>
        <v>0</v>
      </c>
      <c r="M102" s="70"/>
      <c r="N102" s="70">
        <f>IFERROR(__xludf.DUMMYFUNCTION("IMPORTRANGE(""https://docs.google.com/spreadsheets/d/1Yj_ptqi66GCucihVvJfMjLAmec39IyEx_6qawtMGysU/edit?usp=sharing"",""สบก!AT72"")"),0.0)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IFERROR(__xludf.DUMMYFUNCTION("IMPORTRANGE(""https://docs.google.com/spreadsheets/d/1SX6NBoVAgQJ6U1MVXOaj8PK2l7WJ3RER9xtqwdhxkhw/edit?usp=sharing"",""ระยอง!J39"")"),0.0)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IFERROR(__xludf.DUMMYFUNCTION("IMPORTRANGE(""https://docs.google.com/spreadsheets/d/1SX6NBoVAgQJ6U1MVXOaj8PK2l7WJ3RER9xtqwdhxkhw/edit?usp=sharing"",""ระยอง!J40"")"),0.0)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IFERROR(__xludf.DUMMYFUNCTION("IMPORTRANGE(""https://docs.google.com/spreadsheets/d/1SX6NBoVAgQJ6U1MVXOaj8PK2l7WJ3RER9xtqwdhxkhw/edit?usp=sharing"",""ระยอง!J41"")"),0.0)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IFERROR(__xludf.DUMMYFUNCTION("IMPORTRANGE(""https://docs.google.com/spreadsheets/d/1SX6NBoVAgQJ6U1MVXOaj8PK2l7WJ3RER9xtqwdhxkhw/edit?usp=sharing"",""ระยอง!J42"")"),0.0)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IFERROR(__xludf.DUMMYFUNCTION("IMPORTRANGE(""https://docs.google.com/spreadsheets/d/1SX6NBoVAgQJ6U1MVXOaj8PK2l7WJ3RER9xtqwdhxkhw/edit?usp=sharing"",""ระยอง!I43"")"),0.0)</f>
        <v>0</v>
      </c>
      <c r="J108" s="238">
        <f>IFERROR(__xludf.DUMMYFUNCTION("IMPORTRANGE(""https://docs.google.com/spreadsheets/d/1SX6NBoVAgQJ6U1MVXOaj8PK2l7WJ3RER9xtqwdhxkhw/edit?usp=sharing"",""ระยอง!J43"")"),0.0)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IFERROR(__xludf.DUMMYFUNCTION("IMPORTRANGE(""https://docs.google.com/spreadsheets/d/1SX6NBoVAgQJ6U1MVXOaj8PK2l7WJ3RER9xtqwdhxkhw/edit?usp=sharing"",""ระยอง!I44"")"),0.0)</f>
        <v>0</v>
      </c>
      <c r="J109" s="238">
        <f>IFERROR(__xludf.DUMMYFUNCTION("IMPORTRANGE(""https://docs.google.com/spreadsheets/d/1SX6NBoVAgQJ6U1MVXOaj8PK2l7WJ3RER9xtqwdhxkhw/edit?usp=sharing"",""ระยอง!J44"")"),0.0)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IFERROR(__xludf.DUMMYFUNCTION("IMPORTRANGE(""https://docs.google.com/spreadsheets/d/1SX6NBoVAgQJ6U1MVXOaj8PK2l7WJ3RER9xtqwdhxkhw/edit?usp=sharing"",""ระยอง!I45"")"),0.0)</f>
        <v>0</v>
      </c>
      <c r="J110" s="238">
        <f>IFERROR(__xludf.DUMMYFUNCTION("IMPORTRANGE(""https://docs.google.com/spreadsheets/d/1SX6NBoVAgQJ6U1MVXOaj8PK2l7WJ3RER9xtqwdhxkhw/edit?usp=sharing"",""ระยอง!J45"")"),0.0)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IFERROR(__xludf.DUMMYFUNCTION("IMPORTRANGE(""https://docs.google.com/spreadsheets/d/1SX6NBoVAgQJ6U1MVXOaj8PK2l7WJ3RER9xtqwdhxkhw/edit?usp=sharing"",""ระยอง!I46"")"),0.0)</f>
        <v>0</v>
      </c>
      <c r="J111" s="238">
        <f>IFERROR(__xludf.DUMMYFUNCTION("IMPORTRANGE(""https://docs.google.com/spreadsheets/d/1SX6NBoVAgQJ6U1MVXOaj8PK2l7WJ3RER9xtqwdhxkhw/edit?usp=sharing"",""ระยอง!J46"")"),0.0)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IFERROR(__xludf.DUMMYFUNCTION("IMPORTRANGE(""https://docs.google.com/spreadsheets/d/1SX6NBoVAgQJ6U1MVXOaj8PK2l7WJ3RER9xtqwdhxkhw/edit?usp=sharing"",""ระยอง!I47"")"),0.0)</f>
        <v>0</v>
      </c>
      <c r="J112" s="238">
        <f>IFERROR(__xludf.DUMMYFUNCTION("IMPORTRANGE(""https://docs.google.com/spreadsheets/d/1SX6NBoVAgQJ6U1MVXOaj8PK2l7WJ3RER9xtqwdhxkhw/edit?usp=sharing"",""ระยอง!J47"")"),0.0)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IFERROR(__xludf.DUMMYFUNCTION("IMPORTRANGE(""https://docs.google.com/spreadsheets/d/1SX6NBoVAgQJ6U1MVXOaj8PK2l7WJ3RER9xtqwdhxkhw/edit?usp=sharing"",""ระยอง!I48"")"),0.0)</f>
        <v>0</v>
      </c>
      <c r="J113" s="238">
        <f>IFERROR(__xludf.DUMMYFUNCTION("IMPORTRANGE(""https://docs.google.com/spreadsheets/d/1SX6NBoVAgQJ6U1MVXOaj8PK2l7WJ3RER9xtqwdhxkhw/edit?usp=sharing"",""ระยอง!J48"")"),0.0)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IFERROR(__xludf.DUMMYFUNCTION("IMPORTRANGE(""https://docs.google.com/spreadsheets/d/1SX6NBoVAgQJ6U1MVXOaj8PK2l7WJ3RER9xtqwdhxkhw/edit?usp=sharing"",""ระยอง!J49"")"),0.0)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IFERROR(__xludf.DUMMYFUNCTION("IMPORTRANGE(""https://docs.google.com/spreadsheets/d/1SX6NBoVAgQJ6U1MVXOaj8PK2l7WJ3RER9xtqwdhxkhw/edit?usp=sharing"",""ระยอง!J50"")"),0.0)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IFERROR(__xludf.DUMMYFUNCTION("IMPORTRANGE(""https://docs.google.com/spreadsheets/d/1SX6NBoVAgQJ6U1MVXOaj8PK2l7WJ3RER9xtqwdhxkhw/edit?usp=sharing"",""ระยอง!I52"")"),0.0)</f>
        <v>0</v>
      </c>
      <c r="J117" s="172">
        <f>IFERROR(__xludf.DUMMYFUNCTION("IMPORTRANGE(""https://docs.google.com/spreadsheets/d/1SX6NBoVAgQJ6U1MVXOaj8PK2l7WJ3RER9xtqwdhxkhw/edit?usp=sharing"",""ระยอง!J52"")"),0.0)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IFERROR(__xludf.DUMMYFUNCTION("IMPORTRANGE(""https://docs.google.com/spreadsheets/d/1Yj_ptqi66GCucihVvJfMjLAmec39IyEx_6qawtMGysU/edit?usp=sharing"",""สบก!BA72"")"),0.0)</f>
        <v>0</v>
      </c>
      <c r="N122" s="203">
        <f>IFERROR(__xludf.DUMMYFUNCTION("IMPORTRANGE(""https://docs.google.com/spreadsheets/d/1Yj_ptqi66GCucihVvJfMjLAmec39IyEx_6qawtMGysU/edit?usp=sharing"",""สบก!BB72"")"),0.0)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IFERROR(__xludf.DUMMYFUNCTION("IMPORTRANGE(""https://docs.google.com/spreadsheets/d/1Yj_ptqi66GCucihVvJfMjLAmec39IyEx_6qawtMGysU/edit?usp=sharing"",""สบก!AW72"")"),0.0)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IFERROR(__xludf.DUMMYFUNCTION("IMPORTRANGE(""https://docs.google.com/spreadsheets/d/1Yj_ptqi66GCucihVvJfMjLAmec39IyEx_6qawtMGysU/edit?usp=sharing"",""สบก!AX72"")"),0.0)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IFERROR(__xludf.DUMMYFUNCTION("IMPORTRANGE(""https://docs.google.com/spreadsheets/d/1Yj_ptqi66GCucihVvJfMjLAmec39IyEx_6qawtMGysU/edit?usp=sharing"",""สบก!AY72"")"),0.0)</f>
        <v>0</v>
      </c>
      <c r="M126" s="70"/>
      <c r="N126" s="70">
        <f>IFERROR(__xludf.DUMMYFUNCTION("IMPORTRANGE(""https://docs.google.com/spreadsheets/d/1Yj_ptqi66GCucihVvJfMjLAmec39IyEx_6qawtMGysU/edit?usp=sharing"",""สบก!BC72"")"),0.0)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266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IFERROR(__xludf.DUMMYFUNCTION("IMPORTRANGE(""https://docs.google.com/spreadsheets/d/1SX6NBoVAgQJ6U1MVXOaj8PK2l7WJ3RER9xtqwdhxkhw/edit?usp=sharing"",""ระยอง!J58"")"),0.0)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IFERROR(__xludf.DUMMYFUNCTION("IMPORTRANGE(""https://docs.google.com/spreadsheets/d/1SX6NBoVAgQJ6U1MVXOaj8PK2l7WJ3RER9xtqwdhxkhw/edit?usp=sharing"",""ระยอง!J59"")"),0.0)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IFERROR(__xludf.DUMMYFUNCTION("IMPORTRANGE(""https://docs.google.com/spreadsheets/d/1SX6NBoVAgQJ6U1MVXOaj8PK2l7WJ3RER9xtqwdhxkhw/edit?usp=sharing"",""ระยอง!J60"")"),0.0)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IFERROR(__xludf.DUMMYFUNCTION("IMPORTRANGE(""https://docs.google.com/spreadsheets/d/1SX6NBoVAgQJ6U1MVXOaj8PK2l7WJ3RER9xtqwdhxkhw/edit?usp=sharing"",""ระยอง!J61"")"),0.0)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IFERROR(__xludf.DUMMYFUNCTION("IMPORTRANGE(""https://docs.google.com/spreadsheets/d/1SX6NBoVAgQJ6U1MVXOaj8PK2l7WJ3RER9xtqwdhxkhw/edit?usp=sharing"",""ระยอง!I62"")"),0.0)</f>
        <v>0</v>
      </c>
      <c r="J132" s="238">
        <f>IFERROR(__xludf.DUMMYFUNCTION("IMPORTRANGE(""https://docs.google.com/spreadsheets/d/1SX6NBoVAgQJ6U1MVXOaj8PK2l7WJ3RER9xtqwdhxkhw/edit?usp=sharing"",""ระยอง!J62"")"),0.0)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IFERROR(__xludf.DUMMYFUNCTION("IMPORTRANGE(""https://docs.google.com/spreadsheets/d/1SX6NBoVAgQJ6U1MVXOaj8PK2l7WJ3RER9xtqwdhxkhw/edit?usp=sharing"",""ระยอง!I63"")"),0.0)</f>
        <v>0</v>
      </c>
      <c r="J133" s="238">
        <f>IFERROR(__xludf.DUMMYFUNCTION("IMPORTRANGE(""https://docs.google.com/spreadsheets/d/1SX6NBoVAgQJ6U1MVXOaj8PK2l7WJ3RER9xtqwdhxkhw/edit?usp=sharing"",""ระยอง!J63"")"),0.0)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IFERROR(__xludf.DUMMYFUNCTION("IMPORTRANGE(""https://docs.google.com/spreadsheets/d/1SX6NBoVAgQJ6U1MVXOaj8PK2l7WJ3RER9xtqwdhxkhw/edit?usp=sharing"",""ระยอง!J64"")"),0.0)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IFERROR(__xludf.DUMMYFUNCTION("IMPORTRANGE(""https://docs.google.com/spreadsheets/d/1SX6NBoVAgQJ6U1MVXOaj8PK2l7WJ3RER9xtqwdhxkhw/edit?usp=sharing"",""ระยอง!J65"")"),0.0)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IFERROR(__xludf.DUMMYFUNCTION("IMPORTRANGE(""https://docs.google.com/spreadsheets/d/1SX6NBoVAgQJ6U1MVXOaj8PK2l7WJ3RER9xtqwdhxkhw/edit?usp=sharing"",""ระยอง!I68"")"),20.0)</f>
        <v>20</v>
      </c>
      <c r="J138" s="301">
        <f>IFERROR(__xludf.DUMMYFUNCTION("IMPORTRANGE(""https://docs.google.com/spreadsheets/d/1SX6NBoVAgQJ6U1MVXOaj8PK2l7WJ3RER9xtqwdhxkhw/edit?usp=sharing"",""ระยอง!J68"")"),0.0)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340900</v>
      </c>
      <c r="M140" s="183">
        <f t="shared" si="65"/>
        <v>179950</v>
      </c>
      <c r="N140" s="183">
        <f t="shared" si="65"/>
        <v>53350</v>
      </c>
      <c r="O140" s="182">
        <f t="shared" ref="O140:O142" si="67">IF(L140&gt;0,N140*100/L140,0)</f>
        <v>15.64975066</v>
      </c>
      <c r="P140" s="182">
        <f t="shared" ref="P140:P142" si="68">IF(M140&gt;0,N140*100/M140,0)</f>
        <v>29.6471242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340900</v>
      </c>
      <c r="M142" s="188">
        <f t="shared" si="69"/>
        <v>179950</v>
      </c>
      <c r="N142" s="188">
        <f t="shared" si="69"/>
        <v>53350</v>
      </c>
      <c r="O142" s="187">
        <f t="shared" si="67"/>
        <v>15.64975066</v>
      </c>
      <c r="P142" s="187">
        <f t="shared" si="68"/>
        <v>29.6471242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340900</v>
      </c>
      <c r="M144" s="200">
        <f>IFERROR(__xludf.DUMMYFUNCTION("IMPORTRANGE(""https://docs.google.com/spreadsheets/d/1Yj_ptqi66GCucihVvJfMjLAmec39IyEx_6qawtMGysU/edit?usp=sharing"",""สบก!BJ72"")"),179950.0)</f>
        <v>179950</v>
      </c>
      <c r="N144" s="203">
        <f>IFERROR(__xludf.DUMMYFUNCTION("IMPORTRANGE(""https://docs.google.com/spreadsheets/d/1Yj_ptqi66GCucihVvJfMjLAmec39IyEx_6qawtMGysU/edit?usp=sharing"",""สบก!BK72"")"),53350.0)</f>
        <v>53350</v>
      </c>
      <c r="O144" s="203">
        <f>IF(L144&gt;0,N144*100/L144,0)</f>
        <v>15.64975066</v>
      </c>
      <c r="P144" s="203">
        <f>IF(M144&gt;0,N144*100/M144,0)</f>
        <v>29.6471242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IFERROR(__xludf.DUMMYFUNCTION("IMPORTRANGE(""https://docs.google.com/spreadsheets/d/1Yj_ptqi66GCucihVvJfMjLAmec39IyEx_6qawtMGysU/edit?usp=sharing"",""สบก!BF72"")"),232000.0)</f>
        <v>232000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IFERROR(__xludf.DUMMYFUNCTION("IMPORTRANGE(""https://docs.google.com/spreadsheets/d/1Yj_ptqi66GCucihVvJfMjLAmec39IyEx_6qawtMGysU/edit?usp=sharing"",""สบก!BG72"")"),108900.0)</f>
        <v>108900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IFERROR(__xludf.DUMMYFUNCTION("IMPORTRANGE(""https://docs.google.com/spreadsheets/d/1Yj_ptqi66GCucihVvJfMjLAmec39IyEx_6qawtMGysU/edit?usp=sharing"",""สบก!BH72"")"),0.0)</f>
        <v>0</v>
      </c>
      <c r="M148" s="70"/>
      <c r="N148" s="70">
        <f>IFERROR(__xludf.DUMMYFUNCTION("IMPORTRANGE(""https://docs.google.com/spreadsheets/d/1Yj_ptqi66GCucihVvJfMjLAmec39IyEx_6qawtMGysU/edit?usp=sharing"",""สบก!BL72"")"),0.0)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IFERROR(__xludf.DUMMYFUNCTION("IMPORTRANGE(""https://docs.google.com/spreadsheets/d/1SX6NBoVAgQJ6U1MVXOaj8PK2l7WJ3RER9xtqwdhxkhw/edit?usp=sharing"",""ระยอง!I74"")"),4.0)</f>
        <v>4</v>
      </c>
      <c r="J149" s="309">
        <f>IFERROR(__xludf.DUMMYFUNCTION("IMPORTRANGE(""https://docs.google.com/spreadsheets/d/1SX6NBoVAgQJ6U1MVXOaj8PK2l7WJ3RER9xtqwdhxkhw/edit?usp=sharing"",""ระยอง!J74"")"),1.0)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IFERROR(__xludf.DUMMYFUNCTION("IMPORTRANGE(""https://docs.google.com/spreadsheets/d/1SX6NBoVAgQJ6U1MVXOaj8PK2l7WJ3RER9xtqwdhxkhw/edit?usp=sharing"",""ระยอง!J79"")"),0.0)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IFERROR(__xludf.DUMMYFUNCTION("IMPORTRANGE(""https://docs.google.com/spreadsheets/d/1SX6NBoVAgQJ6U1MVXOaj8PK2l7WJ3RER9xtqwdhxkhw/edit?usp=sharing"",""ระยอง!J80"")"),1.0)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IFERROR(__xludf.DUMMYFUNCTION("IMPORTRANGE(""https://docs.google.com/spreadsheets/d/1SX6NBoVAgQJ6U1MVXOaj8PK2l7WJ3RER9xtqwdhxkhw/edit?usp=sharing"",""ระยอง!J81"")"),1.0)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IFERROR(__xludf.DUMMYFUNCTION("IMPORTRANGE(""https://docs.google.com/spreadsheets/d/1SX6NBoVAgQJ6U1MVXOaj8PK2l7WJ3RER9xtqwdhxkhw/edit?usp=sharing"",""ระยอง!J82"")"),1.0)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IFERROR(__xludf.DUMMYFUNCTION("IMPORTRANGE(""https://docs.google.com/spreadsheets/d/1SX6NBoVAgQJ6U1MVXOaj8PK2l7WJ3RER9xtqwdhxkhw/edit?usp=sharing"",""ระยอง!I83"")"),4.0)</f>
        <v>4</v>
      </c>
      <c r="J158" s="223">
        <f>IFERROR(__xludf.DUMMYFUNCTION("IMPORTRANGE(""https://docs.google.com/spreadsheets/d/1SX6NBoVAgQJ6U1MVXOaj8PK2l7WJ3RER9xtqwdhxkhw/edit?usp=sharing"",""ระยอง!J83"")"),1.0)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IFERROR(__xludf.DUMMYFUNCTION("IMPORTRANGE(""https://docs.google.com/spreadsheets/d/1SX6NBoVAgQJ6U1MVXOaj8PK2l7WJ3RER9xtqwdhxkhw/edit?usp=sharing"",""ระยอง!J84"")"),0.0)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IFERROR(__xludf.DUMMYFUNCTION("IMPORTRANGE(""https://docs.google.com/spreadsheets/d/1SX6NBoVAgQJ6U1MVXOaj8PK2l7WJ3RER9xtqwdhxkhw/edit?usp=sharing"",""ระยอง!J85"")"),0.0)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IFERROR(__xludf.DUMMYFUNCTION("IMPORTRANGE(""https://docs.google.com/spreadsheets/d/1SX6NBoVAgQJ6U1MVXOaj8PK2l7WJ3RER9xtqwdhxkhw/edit?usp=sharing"",""ระยอง!J86"")"),0.0)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IFERROR(__xludf.DUMMYFUNCTION("IMPORTRANGE(""https://docs.google.com/spreadsheets/d/1SX6NBoVAgQJ6U1MVXOaj8PK2l7WJ3RER9xtqwdhxkhw/edit?usp=sharing"",""ระยอง!J87"")"),0.0)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IFERROR(__xludf.DUMMYFUNCTION("IMPORTRANGE(""https://docs.google.com/spreadsheets/d/1SX6NBoVAgQJ6U1MVXOaj8PK2l7WJ3RER9xtqwdhxkhw/edit?usp=sharing"",""ระยอง!J88"")"),0.0)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IFERROR(__xludf.DUMMYFUNCTION("IMPORTRANGE(""https://docs.google.com/spreadsheets/d/1SX6NBoVAgQJ6U1MVXOaj8PK2l7WJ3RER9xtqwdhxkhw/edit?usp=sharing"",""ระยอง!I89"")"),1.0)</f>
        <v>1</v>
      </c>
      <c r="J164" s="317">
        <f>IFERROR(__xludf.DUMMYFUNCTION("IMPORTRANGE(""https://docs.google.com/spreadsheets/d/1SX6NBoVAgQJ6U1MVXOaj8PK2l7WJ3RER9xtqwdhxkhw/edit?usp=sharing"",""ระยอง!J89"")"),0.0)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IFERROR(__xludf.DUMMYFUNCTION("IMPORTRANGE(""https://docs.google.com/spreadsheets/d/1SX6NBoVAgQJ6U1MVXOaj8PK2l7WJ3RER9xtqwdhxkhw/edit?usp=sharing"",""ระยอง!J94"")"),0.0)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IFERROR(__xludf.DUMMYFUNCTION("IMPORTRANGE(""https://docs.google.com/spreadsheets/d/1SX6NBoVAgQJ6U1MVXOaj8PK2l7WJ3RER9xtqwdhxkhw/edit?usp=sharing"",""ระยอง!J95"")"),1.0)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IFERROR(__xludf.DUMMYFUNCTION("IMPORTRANGE(""https://docs.google.com/spreadsheets/d/1SX6NBoVAgQJ6U1MVXOaj8PK2l7WJ3RER9xtqwdhxkhw/edit?usp=sharing"",""ระยอง!J96"")"),1.0)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IFERROR(__xludf.DUMMYFUNCTION("IMPORTRANGE(""https://docs.google.com/spreadsheets/d/1SX6NBoVAgQJ6U1MVXOaj8PK2l7WJ3RER9xtqwdhxkhw/edit?usp=sharing"",""ระยอง!J97"")"),0.0)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IFERROR(__xludf.DUMMYFUNCTION("IMPORTRANGE(""https://docs.google.com/spreadsheets/d/1SX6NBoVAgQJ6U1MVXOaj8PK2l7WJ3RER9xtqwdhxkhw/edit?usp=sharing"",""ระยอง!I98"")"),1.0)</f>
        <v>1</v>
      </c>
      <c r="J173" s="223">
        <f>IFERROR(__xludf.DUMMYFUNCTION("IMPORTRANGE(""https://docs.google.com/spreadsheets/d/1SX6NBoVAgQJ6U1MVXOaj8PK2l7WJ3RER9xtqwdhxkhw/edit?usp=sharing"",""ระยอง!J98"")"),0.0)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IFERROR(__xludf.DUMMYFUNCTION("IMPORTRANGE(""https://docs.google.com/spreadsheets/d/1SX6NBoVAgQJ6U1MVXOaj8PK2l7WJ3RER9xtqwdhxkhw/edit?usp=sharing"",""ระยอง!J99"")"),0.0)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IFERROR(__xludf.DUMMYFUNCTION("IMPORTRANGE(""https://docs.google.com/spreadsheets/d/1SX6NBoVAgQJ6U1MVXOaj8PK2l7WJ3RER9xtqwdhxkhw/edit?usp=sharing"",""ระยอง!J100"")"),0.0)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IFERROR(__xludf.DUMMYFUNCTION("IMPORTRANGE(""https://docs.google.com/spreadsheets/d/1SX6NBoVAgQJ6U1MVXOaj8PK2l7WJ3RER9xtqwdhxkhw/edit?usp=sharing"",""ระยอง!I101"")"),0.0)</f>
        <v>0</v>
      </c>
      <c r="J176" s="317">
        <f>IFERROR(__xludf.DUMMYFUNCTION("IMPORTRANGE(""https://docs.google.com/spreadsheets/d/1SX6NBoVAgQJ6U1MVXOaj8PK2l7WJ3RER9xtqwdhxkhw/edit?usp=sharing"",""ระยอง!J101"")"),0.0)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IFERROR(__xludf.DUMMYFUNCTION("IMPORTRANGE(""https://docs.google.com/spreadsheets/d/1SX6NBoVAgQJ6U1MVXOaj8PK2l7WJ3RER9xtqwdhxkhw/edit?usp=sharing"",""ระยอง!J106"")"),0.0)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IFERROR(__xludf.DUMMYFUNCTION("IMPORTRANGE(""https://docs.google.com/spreadsheets/d/1SX6NBoVAgQJ6U1MVXOaj8PK2l7WJ3RER9xtqwdhxkhw/edit?usp=sharing"",""ระยอง!J107"")"),0.0)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IFERROR(__xludf.DUMMYFUNCTION("IMPORTRANGE(""https://docs.google.com/spreadsheets/d/1SX6NBoVAgQJ6U1MVXOaj8PK2l7WJ3RER9xtqwdhxkhw/edit?usp=sharing"",""ระยอง!J108"")"),0.0)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IFERROR(__xludf.DUMMYFUNCTION("IMPORTRANGE(""https://docs.google.com/spreadsheets/d/1SX6NBoVAgQJ6U1MVXOaj8PK2l7WJ3RER9xtqwdhxkhw/edit?usp=sharing"",""ระยอง!J109"")"),0.0)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IFERROR(__xludf.DUMMYFUNCTION("IMPORTRANGE(""https://docs.google.com/spreadsheets/d/1SX6NBoVAgQJ6U1MVXOaj8PK2l7WJ3RER9xtqwdhxkhw/edit?usp=sharing"",""ระยอง!I110"")"),0.0)</f>
        <v>0</v>
      </c>
      <c r="J185" s="238">
        <f>IFERROR(__xludf.DUMMYFUNCTION("IMPORTRANGE(""https://docs.google.com/spreadsheets/d/1SX6NBoVAgQJ6U1MVXOaj8PK2l7WJ3RER9xtqwdhxkhw/edit?usp=sharing"",""ระยอง!J110"")"),0.0)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IFERROR(__xludf.DUMMYFUNCTION("IMPORTRANGE(""https://docs.google.com/spreadsheets/d/1SX6NBoVAgQJ6U1MVXOaj8PK2l7WJ3RER9xtqwdhxkhw/edit?usp=sharing"",""ระยอง!I111"")"),0.0)</f>
        <v>0</v>
      </c>
      <c r="J186" s="238">
        <f>IFERROR(__xludf.DUMMYFUNCTION("IMPORTRANGE(""https://docs.google.com/spreadsheets/d/1SX6NBoVAgQJ6U1MVXOaj8PK2l7WJ3RER9xtqwdhxkhw/edit?usp=sharing"",""ระยอง!J111"")"),0.0)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IFERROR(__xludf.DUMMYFUNCTION("IMPORTRANGE(""https://docs.google.com/spreadsheets/d/1SX6NBoVAgQJ6U1MVXOaj8PK2l7WJ3RER9xtqwdhxkhw/edit?usp=sharing"",""ระยอง!J112"")"),0.0)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IFERROR(__xludf.DUMMYFUNCTION("IMPORTRANGE(""https://docs.google.com/spreadsheets/d/1SX6NBoVAgQJ6U1MVXOaj8PK2l7WJ3RER9xtqwdhxkhw/edit?usp=sharing"",""ระยอง!J113"")"),0.0)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IFERROR(__xludf.DUMMYFUNCTION("IMPORTRANGE(""https://docs.google.com/spreadsheets/d/1SX6NBoVAgQJ6U1MVXOaj8PK2l7WJ3RER9xtqwdhxkhw/edit?usp=sharing"",""ระยอง!I114"")"),6400.0)</f>
        <v>6400</v>
      </c>
      <c r="J189" s="317">
        <f>IFERROR(__xludf.DUMMYFUNCTION("IMPORTRANGE(""https://docs.google.com/spreadsheets/d/1SX6NBoVAgQJ6U1MVXOaj8PK2l7WJ3RER9xtqwdhxkhw/edit?usp=sharing"",""ระยอง!J114"")"),0.0)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IFERROR(__xludf.DUMMYFUNCTION("IMPORTRANGE(""https://docs.google.com/spreadsheets/d/1SX6NBoVAgQJ6U1MVXOaj8PK2l7WJ3RER9xtqwdhxkhw/edit?usp=sharing"",""ระยอง!J119"")"),0.0)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IFERROR(__xludf.DUMMYFUNCTION("IMPORTRANGE(""https://docs.google.com/spreadsheets/d/1SX6NBoVAgQJ6U1MVXOaj8PK2l7WJ3RER9xtqwdhxkhw/edit?usp=sharing"",""ระยอง!J120"")"),1.0)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IFERROR(__xludf.DUMMYFUNCTION("IMPORTRANGE(""https://docs.google.com/spreadsheets/d/1SX6NBoVAgQJ6U1MVXOaj8PK2l7WJ3RER9xtqwdhxkhw/edit?usp=sharing"",""ระยอง!J121"")"),1.0)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IFERROR(__xludf.DUMMYFUNCTION("IMPORTRANGE(""https://docs.google.com/spreadsheets/d/1SX6NBoVAgQJ6U1MVXOaj8PK2l7WJ3RER9xtqwdhxkhw/edit?usp=sharing"",""ระยอง!J122"")"),0.0)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IFERROR(__xludf.DUMMYFUNCTION("IMPORTRANGE(""https://docs.google.com/spreadsheets/d/1SX6NBoVAgQJ6U1MVXOaj8PK2l7WJ3RER9xtqwdhxkhw/edit?usp=sharing"",""ระยอง!I124"")"),6400.0)</f>
        <v>6400</v>
      </c>
      <c r="J199" s="223">
        <f>IFERROR(__xludf.DUMMYFUNCTION("IMPORTRANGE(""https://docs.google.com/spreadsheets/d/1SX6NBoVAgQJ6U1MVXOaj8PK2l7WJ3RER9xtqwdhxkhw/edit?usp=sharing"",""ระยอง!J124"")"),0.0)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IFERROR(__xludf.DUMMYFUNCTION("IMPORTRANGE(""https://docs.google.com/spreadsheets/d/1SX6NBoVAgQJ6U1MVXOaj8PK2l7WJ3RER9xtqwdhxkhw/edit?usp=sharing"",""ระยอง!I125"")"),6400.0)</f>
        <v>6400</v>
      </c>
      <c r="J200" s="223">
        <f>IFERROR(__xludf.DUMMYFUNCTION("IMPORTRANGE(""https://docs.google.com/spreadsheets/d/1SX6NBoVAgQJ6U1MVXOaj8PK2l7WJ3RER9xtqwdhxkhw/edit?usp=sharing"",""ระยอง!J125"")"),0.0)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IFERROR(__xludf.DUMMYFUNCTION("IMPORTRANGE(""https://docs.google.com/spreadsheets/d/1SX6NBoVAgQJ6U1MVXOaj8PK2l7WJ3RER9xtqwdhxkhw/edit?usp=sharing"",""ระยอง!I126"")"),0.0)</f>
        <v>0</v>
      </c>
      <c r="J201" s="223">
        <f>IFERROR(__xludf.DUMMYFUNCTION("IMPORTRANGE(""https://docs.google.com/spreadsheets/d/1SX6NBoVAgQJ6U1MVXOaj8PK2l7WJ3RER9xtqwdhxkhw/edit?usp=sharing"",""ระยอง!J126"")"),0.0)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IFERROR(__xludf.DUMMYFUNCTION("IMPORTRANGE(""https://docs.google.com/spreadsheets/d/1SX6NBoVAgQJ6U1MVXOaj8PK2l7WJ3RER9xtqwdhxkhw/edit?usp=sharing"",""ระยอง!J127"")"),0.0)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IFERROR(__xludf.DUMMYFUNCTION("IMPORTRANGE(""https://docs.google.com/spreadsheets/d/1SX6NBoVAgQJ6U1MVXOaj8PK2l7WJ3RER9xtqwdhxkhw/edit?usp=sharing"",""ระยอง!J128"")"),0.0)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IFERROR(__xludf.DUMMYFUNCTION("IMPORTRANGE(""https://docs.google.com/spreadsheets/d/1SX6NBoVAgQJ6U1MVXOaj8PK2l7WJ3RER9xtqwdhxkhw/edit?usp=sharing"",""ระยอง!I129"")"),20.0)</f>
        <v>20</v>
      </c>
      <c r="J204" s="317">
        <f>IFERROR(__xludf.DUMMYFUNCTION("IMPORTRANGE(""https://docs.google.com/spreadsheets/d/1SX6NBoVAgQJ6U1MVXOaj8PK2l7WJ3RER9xtqwdhxkhw/edit?usp=sharing"",""ระยอง!J129"")"),0.0)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IFERROR(__xludf.DUMMYFUNCTION("IMPORTRANGE(""https://docs.google.com/spreadsheets/d/1SX6NBoVAgQJ6U1MVXOaj8PK2l7WJ3RER9xtqwdhxkhw/edit?usp=sharing"",""ระยอง!J134"")"),0.0)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IFERROR(__xludf.DUMMYFUNCTION("IMPORTRANGE(""https://docs.google.com/spreadsheets/d/1SX6NBoVAgQJ6U1MVXOaj8PK2l7WJ3RER9xtqwdhxkhw/edit?usp=sharing"",""ระยอง!J135"")"),1.0)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IFERROR(__xludf.DUMMYFUNCTION("IMPORTRANGE(""https://docs.google.com/spreadsheets/d/1SX6NBoVAgQJ6U1MVXOaj8PK2l7WJ3RER9xtqwdhxkhw/edit?usp=sharing"",""ระยอง!J136"")"),1.0)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IFERROR(__xludf.DUMMYFUNCTION("IMPORTRANGE(""https://docs.google.com/spreadsheets/d/1SX6NBoVAgQJ6U1MVXOaj8PK2l7WJ3RER9xtqwdhxkhw/edit?usp=sharing"",""ระยอง!J137"")"),0.0)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IFERROR(__xludf.DUMMYFUNCTION("IMPORTRANGE(""https://docs.google.com/spreadsheets/d/1SX6NBoVAgQJ6U1MVXOaj8PK2l7WJ3RER9xtqwdhxkhw/edit?usp=sharing"",""ระยอง!I138"")"),20.0)</f>
        <v>20</v>
      </c>
      <c r="J213" s="238">
        <f>IFERROR(__xludf.DUMMYFUNCTION("IMPORTRANGE(""https://docs.google.com/spreadsheets/d/1SX6NBoVAgQJ6U1MVXOaj8PK2l7WJ3RER9xtqwdhxkhw/edit?usp=sharing"",""ระยอง!J138"")"),0.0)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IFERROR(__xludf.DUMMYFUNCTION("IMPORTRANGE(""https://docs.google.com/spreadsheets/d/1SX6NBoVAgQJ6U1MVXOaj8PK2l7WJ3RER9xtqwdhxkhw/edit?usp=sharing"",""ระยอง!I140"")"),20.0)</f>
        <v>20</v>
      </c>
      <c r="J215" s="238">
        <f>IFERROR(__xludf.DUMMYFUNCTION("IMPORTRANGE(""https://docs.google.com/spreadsheets/d/1SX6NBoVAgQJ6U1MVXOaj8PK2l7WJ3RER9xtqwdhxkhw/edit?usp=sharing"",""ระยอง!J140"")"),0.0)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IFERROR(__xludf.DUMMYFUNCTION("IMPORTRANGE(""https://docs.google.com/spreadsheets/d/1SX6NBoVAgQJ6U1MVXOaj8PK2l7WJ3RER9xtqwdhxkhw/edit?usp=sharing"",""ระยอง!I141"")"),0.0)</f>
        <v>0</v>
      </c>
      <c r="J216" s="238">
        <f>IFERROR(__xludf.DUMMYFUNCTION("IMPORTRANGE(""https://docs.google.com/spreadsheets/d/1SX6NBoVAgQJ6U1MVXOaj8PK2l7WJ3RER9xtqwdhxkhw/edit?usp=sharing"",""ระยอง!J141"")"),0.0)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IFERROR(__xludf.DUMMYFUNCTION("IMPORTRANGE(""https://docs.google.com/spreadsheets/d/1SX6NBoVAgQJ6U1MVXOaj8PK2l7WJ3RER9xtqwdhxkhw/edit?usp=sharing"",""ระยอง!J142"")"),0.0)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IFERROR(__xludf.DUMMYFUNCTION("IMPORTRANGE(""https://docs.google.com/spreadsheets/d/1SX6NBoVAgQJ6U1MVXOaj8PK2l7WJ3RER9xtqwdhxkhw/edit?usp=sharing"",""ระยอง!J143"")"),0.0)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IFERROR(__xludf.DUMMYFUNCTION("IMPORTRANGE(""https://docs.google.com/spreadsheets/d/1SX6NBoVAgQJ6U1MVXOaj8PK2l7WJ3RER9xtqwdhxkhw/edit?usp=sharing"",""ระยอง!I144"")"),15.0)</f>
        <v>15</v>
      </c>
      <c r="J219" s="301">
        <f>IFERROR(__xludf.DUMMYFUNCTION("IMPORTRANGE(""https://docs.google.com/spreadsheets/d/1SX6NBoVAgQJ6U1MVXOaj8PK2l7WJ3RER9xtqwdhxkhw/edit?usp=sharing"",""ระยอง!J144"")"),15.0)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0">
        <f>IFERROR(__xludf.DUMMYFUNCTION("IMPORTRANGE(""https://docs.google.com/spreadsheets/d/1Yj_ptqi66GCucihVvJfMjLAmec39IyEx_6qawtMGysU/edit?usp=sharing"",""สบก!BS72"")"),21125.0)</f>
        <v>21125</v>
      </c>
      <c r="N224" s="203">
        <f>IFERROR(__xludf.DUMMYFUNCTION("IMPORTRANGE(""https://docs.google.com/spreadsheets/d/1Yj_ptqi66GCucihVvJfMjLAmec39IyEx_6qawtMGysU/edit?usp=sharing"",""สบก!BT72"")"),21125.0)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IFERROR(__xludf.DUMMYFUNCTION("IMPORTRANGE(""https://docs.google.com/spreadsheets/d/1Yj_ptqi66GCucihVvJfMjLAmec39IyEx_6qawtMGysU/edit?usp=sharing"",""สบก!BO72"")"),0.0)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IFERROR(__xludf.DUMMYFUNCTION("IMPORTRANGE(""https://docs.google.com/spreadsheets/d/1Yj_ptqi66GCucihVvJfMjLAmec39IyEx_6qawtMGysU/edit?usp=sharing"",""สบก!BP72"")"),21125.0)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IFERROR(__xludf.DUMMYFUNCTION("IMPORTRANGE(""https://docs.google.com/spreadsheets/d/1Yj_ptqi66GCucihVvJfMjLAmec39IyEx_6qawtMGysU/edit?usp=sharing"",""สบก!BQ72"")"),0.0)</f>
        <v>0</v>
      </c>
      <c r="M228" s="70"/>
      <c r="N228" s="70">
        <f>IFERROR(__xludf.DUMMYFUNCTION("IMPORTRANGE(""https://docs.google.com/spreadsheets/d/1Yj_ptqi66GCucihVvJfMjLAmec39IyEx_6qawtMGysU/edit?usp=sharing"",""สบก!BU72"")"),0.0)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IFERROR(__xludf.DUMMYFUNCTION("IMPORTRANGE(""https://docs.google.com/spreadsheets/d/1SX6NBoVAgQJ6U1MVXOaj8PK2l7WJ3RER9xtqwdhxkhw/edit?usp=sharing"",""ระยอง!I149"")"),15.0)</f>
        <v>15</v>
      </c>
      <c r="J229" s="301">
        <f>IFERROR(__xludf.DUMMYFUNCTION("IMPORTRANGE(""https://docs.google.com/spreadsheets/d/1SX6NBoVAgQJ6U1MVXOaj8PK2l7WJ3RER9xtqwdhxkhw/edit?usp=sharing"",""ระยอง!J149"")"),15.0)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IFERROR(__xludf.DUMMYFUNCTION("IMPORTRANGE(""https://docs.google.com/spreadsheets/d/1SX6NBoVAgQJ6U1MVXOaj8PK2l7WJ3RER9xtqwdhxkhw/edit?usp=sharing"",""ระยอง!J151"")"),0.0)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IFERROR(__xludf.DUMMYFUNCTION("IMPORTRANGE(""https://docs.google.com/spreadsheets/d/1SX6NBoVAgQJ6U1MVXOaj8PK2l7WJ3RER9xtqwdhxkhw/edit?usp=sharing"",""ระยอง!J152"")"),1.0)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IFERROR(__xludf.DUMMYFUNCTION("IMPORTRANGE(""https://docs.google.com/spreadsheets/d/1SX6NBoVAgQJ6U1MVXOaj8PK2l7WJ3RER9xtqwdhxkhw/edit?usp=sharing"",""ระยอง!J153"")"),1.0)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IFERROR(__xludf.DUMMYFUNCTION("IMPORTRANGE(""https://docs.google.com/spreadsheets/d/1SX6NBoVAgQJ6U1MVXOaj8PK2l7WJ3RER9xtqwdhxkhw/edit?usp=sharing"",""ระยอง!J154"")"),1.0)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IFERROR(__xludf.DUMMYFUNCTION("IMPORTRANGE(""https://docs.google.com/spreadsheets/d/1SX6NBoVAgQJ6U1MVXOaj8PK2l7WJ3RER9xtqwdhxkhw/edit?usp=sharing"",""ระยอง!I155"")"),15.0)</f>
        <v>15</v>
      </c>
      <c r="J235" s="223">
        <f>IFERROR(__xludf.DUMMYFUNCTION("IMPORTRANGE(""https://docs.google.com/spreadsheets/d/1SX6NBoVAgQJ6U1MVXOaj8PK2l7WJ3RER9xtqwdhxkhw/edit?usp=sharing"",""ระยอง!J155"")"),15.0)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IFERROR(__xludf.DUMMYFUNCTION("IMPORTRANGE(""https://docs.google.com/spreadsheets/d/1SX6NBoVAgQJ6U1MVXOaj8PK2l7WJ3RER9xtqwdhxkhw/edit?usp=sharing"",""ระยอง!J156"")"),0.0)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IFERROR(__xludf.DUMMYFUNCTION("IMPORTRANGE(""https://docs.google.com/spreadsheets/d/1SX6NBoVAgQJ6U1MVXOaj8PK2l7WJ3RER9xtqwdhxkhw/edit?usp=sharing"",""ระยอง!J157"")"),0.0)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IFERROR(__xludf.DUMMYFUNCTION("IMPORTRANGE(""https://docs.google.com/spreadsheets/d/1SX6NBoVAgQJ6U1MVXOaj8PK2l7WJ3RER9xtqwdhxkhw/edit?usp=sharing"",""ระยอง!I158"")"),0.0)</f>
        <v>0</v>
      </c>
      <c r="J238" s="301">
        <f>IFERROR(__xludf.DUMMYFUNCTION("IMPORTRANGE(""https://docs.google.com/spreadsheets/d/1SX6NBoVAgQJ6U1MVXOaj8PK2l7WJ3RER9xtqwdhxkhw/edit?usp=sharing"",""ระยอง!J158"")"),0.0)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IFERROR(__xludf.DUMMYFUNCTION("IMPORTRANGE(""https://docs.google.com/spreadsheets/d/1SX6NBoVAgQJ6U1MVXOaj8PK2l7WJ3RER9xtqwdhxkhw/edit?usp=sharing"",""ระยอง!J159"")"),"")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IFERROR(__xludf.DUMMYFUNCTION("IMPORTRANGE(""https://docs.google.com/spreadsheets/d/1SX6NBoVAgQJ6U1MVXOaj8PK2l7WJ3RER9xtqwdhxkhw/edit?usp=sharing"",""ระยอง!J161"")"),0.0)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IFERROR(__xludf.DUMMYFUNCTION("IMPORTRANGE(""https://docs.google.com/spreadsheets/d/1SX6NBoVAgQJ6U1MVXOaj8PK2l7WJ3RER9xtqwdhxkhw/edit?usp=sharing"",""ระยอง!J162"")"),0.0)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IFERROR(__xludf.DUMMYFUNCTION("IMPORTRANGE(""https://docs.google.com/spreadsheets/d/1SX6NBoVAgQJ6U1MVXOaj8PK2l7WJ3RER9xtqwdhxkhw/edit?usp=sharing"",""ระยอง!J163"")"),0.0)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IFERROR(__xludf.DUMMYFUNCTION("IMPORTRANGE(""https://docs.google.com/spreadsheets/d/1SX6NBoVAgQJ6U1MVXOaj8PK2l7WJ3RER9xtqwdhxkhw/edit?usp=sharing"",""ระยอง!I164"")"),0.0)</f>
        <v>0</v>
      </c>
      <c r="J244" s="222">
        <f>IFERROR(__xludf.DUMMYFUNCTION("IMPORTRANGE(""https://docs.google.com/spreadsheets/d/1SX6NBoVAgQJ6U1MVXOaj8PK2l7WJ3RER9xtqwdhxkhw/edit?usp=sharing"",""ระยอง!J164"")"),0.0)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IFERROR(__xludf.DUMMYFUNCTION("IMPORTRANGE(""https://docs.google.com/spreadsheets/d/1SX6NBoVAgQJ6U1MVXOaj8PK2l7WJ3RER9xtqwdhxkhw/edit?usp=sharing"",""ระยอง!J165"")"),0.0)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IFERROR(__xludf.DUMMYFUNCTION("IMPORTRANGE(""https://docs.google.com/spreadsheets/d/1SX6NBoVAgQJ6U1MVXOaj8PK2l7WJ3RER9xtqwdhxkhw/edit?usp=sharing"",""ระยอง!J166"")"),0.0)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IFERROR(__xludf.DUMMYFUNCTION("IMPORTRANGE(""https://docs.google.com/spreadsheets/d/1SX6NBoVAgQJ6U1MVXOaj8PK2l7WJ3RER9xtqwdhxkhw/edit?usp=sharing"",""ระยอง!I169"")"),25.0)</f>
        <v>25</v>
      </c>
      <c r="J249" s="349">
        <f>IFERROR(__xludf.DUMMYFUNCTION("IMPORTRANGE(""https://docs.google.com/spreadsheets/d/1SX6NBoVAgQJ6U1MVXOaj8PK2l7WJ3RER9xtqwdhxkhw/edit?usp=sharing"",""ระยอง!J169"")"),0.0)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199000</v>
      </c>
      <c r="M250" s="183">
        <f t="shared" si="78"/>
        <v>97500</v>
      </c>
      <c r="N250" s="183">
        <f t="shared" si="78"/>
        <v>14703</v>
      </c>
      <c r="O250" s="182">
        <f t="shared" ref="O250:O252" si="80">IF(L250&gt;0,N250*100/L250,0)</f>
        <v>7.388442211</v>
      </c>
      <c r="P250" s="182">
        <f t="shared" ref="P250:P252" si="81">IF(M250&gt;0,N250*100/M250,0)</f>
        <v>15.08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199000</v>
      </c>
      <c r="M252" s="188">
        <f t="shared" si="82"/>
        <v>97500</v>
      </c>
      <c r="N252" s="188">
        <f t="shared" si="82"/>
        <v>14703</v>
      </c>
      <c r="O252" s="187">
        <f t="shared" si="80"/>
        <v>7.388442211</v>
      </c>
      <c r="P252" s="187">
        <f t="shared" si="81"/>
        <v>15.08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199000</v>
      </c>
      <c r="M254" s="200">
        <f>IFERROR(__xludf.DUMMYFUNCTION("IMPORTRANGE(""https://docs.google.com/spreadsheets/d/1Yj_ptqi66GCucihVvJfMjLAmec39IyEx_6qawtMGysU/edit?usp=sharing"",""สบก!CB72"")"),97500.0)</f>
        <v>97500</v>
      </c>
      <c r="N254" s="203">
        <f>IFERROR(__xludf.DUMMYFUNCTION("IMPORTRANGE(""https://docs.google.com/spreadsheets/d/1Yj_ptqi66GCucihVvJfMjLAmec39IyEx_6qawtMGysU/edit?usp=sharing"",""สบก!CC72"")"),14703.0)</f>
        <v>14703</v>
      </c>
      <c r="O254" s="203">
        <f>IF(L254&gt;0,N254*100/L254,0)</f>
        <v>7.388442211</v>
      </c>
      <c r="P254" s="203">
        <f>IF(M254&gt;0,N254*100/M254,0)</f>
        <v>15.08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IFERROR(__xludf.DUMMYFUNCTION("IMPORTRANGE(""https://docs.google.com/spreadsheets/d/1Yj_ptqi66GCucihVvJfMjLAmec39IyEx_6qawtMGysU/edit?usp=sharing"",""สบก!BX72"")"),0.0)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IFERROR(__xludf.DUMMYFUNCTION("IMPORTRANGE(""https://docs.google.com/spreadsheets/d/1Yj_ptqi66GCucihVvJfMjLAmec39IyEx_6qawtMGysU/edit?usp=sharing"",""สบก!BY72"")"),199000.0)</f>
        <v>199000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IFERROR(__xludf.DUMMYFUNCTION("IMPORTRANGE(""https://docs.google.com/spreadsheets/d/1Yj_ptqi66GCucihVvJfMjLAmec39IyEx_6qawtMGysU/edit?usp=sharing"",""สบก!BZ72"")"),0.0)</f>
        <v>0</v>
      </c>
      <c r="M258" s="70"/>
      <c r="N258" s="70">
        <f>IFERROR(__xludf.DUMMYFUNCTION("IMPORTRANGE(""https://docs.google.com/spreadsheets/d/1Yj_ptqi66GCucihVvJfMjLAmec39IyEx_6qawtMGysU/edit?usp=sharing"",""สบก!CD72"")"),0.0)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IFERROR(__xludf.DUMMYFUNCTION("IMPORTRANGE(""https://docs.google.com/spreadsheets/d/1SX6NBoVAgQJ6U1MVXOaj8PK2l7WJ3RER9xtqwdhxkhw/edit?usp=sharing"",""ระยอง!J175"")"),0.0)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IFERROR(__xludf.DUMMYFUNCTION("IMPORTRANGE(""https://docs.google.com/spreadsheets/d/1SX6NBoVAgQJ6U1MVXOaj8PK2l7WJ3RER9xtqwdhxkhw/edit?usp=sharing"",""ระยอง!J176"")"),1.0)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IFERROR(__xludf.DUMMYFUNCTION("IMPORTRANGE(""https://docs.google.com/spreadsheets/d/1SX6NBoVAgQJ6U1MVXOaj8PK2l7WJ3RER9xtqwdhxkhw/edit?usp=sharing"",""ระยอง!J177"")"),1.0)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IFERROR(__xludf.DUMMYFUNCTION("IMPORTRANGE(""https://docs.google.com/spreadsheets/d/1SX6NBoVAgQJ6U1MVXOaj8PK2l7WJ3RER9xtqwdhxkhw/edit?usp=sharing"",""ระยอง!J178"")"),1.0)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IFERROR(__xludf.DUMMYFUNCTION("IMPORTRANGE(""https://docs.google.com/spreadsheets/d/1SX6NBoVAgQJ6U1MVXOaj8PK2l7WJ3RER9xtqwdhxkhw/edit?usp=sharing"",""ระยอง!I179"")"),1.0)</f>
        <v>1</v>
      </c>
      <c r="J264" s="223">
        <f>IFERROR(__xludf.DUMMYFUNCTION("IMPORTRANGE(""https://docs.google.com/spreadsheets/d/1SX6NBoVAgQJ6U1MVXOaj8PK2l7WJ3RER9xtqwdhxkhw/edit?usp=sharing"",""ระยอง!J179"")"),0.0)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IFERROR(__xludf.DUMMYFUNCTION("IMPORTRANGE(""https://docs.google.com/spreadsheets/d/1SX6NBoVAgQJ6U1MVXOaj8PK2l7WJ3RER9xtqwdhxkhw/edit?usp=sharing"",""ระยอง!I180"")"),25.0)</f>
        <v>25</v>
      </c>
      <c r="J265" s="223">
        <f>IFERROR(__xludf.DUMMYFUNCTION("IMPORTRANGE(""https://docs.google.com/spreadsheets/d/1SX6NBoVAgQJ6U1MVXOaj8PK2l7WJ3RER9xtqwdhxkhw/edit?usp=sharing"",""ระยอง!J180"")"),0.0)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IFERROR(__xludf.DUMMYFUNCTION("IMPORTRANGE(""https://docs.google.com/spreadsheets/d/1SX6NBoVAgQJ6U1MVXOaj8PK2l7WJ3RER9xtqwdhxkhw/edit?usp=sharing"",""ระยอง!I181"")"),25.0)</f>
        <v>25</v>
      </c>
      <c r="J266" s="223">
        <f>IFERROR(__xludf.DUMMYFUNCTION("IMPORTRANGE(""https://docs.google.com/spreadsheets/d/1SX6NBoVAgQJ6U1MVXOaj8PK2l7WJ3RER9xtqwdhxkhw/edit?usp=sharing"",""ระยอง!J181"")"),0.0)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IFERROR(__xludf.DUMMYFUNCTION("IMPORTRANGE(""https://docs.google.com/spreadsheets/d/1SX6NBoVAgQJ6U1MVXOaj8PK2l7WJ3RER9xtqwdhxkhw/edit?usp=sharing"",""ระยอง!I182"")"),1.0)</f>
        <v>1</v>
      </c>
      <c r="J267" s="223">
        <f>IFERROR(__xludf.DUMMYFUNCTION("IMPORTRANGE(""https://docs.google.com/spreadsheets/d/1SX6NBoVAgQJ6U1MVXOaj8PK2l7WJ3RER9xtqwdhxkhw/edit?usp=sharing"",""ระยอง!J182"")"),0.0)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IFERROR(__xludf.DUMMYFUNCTION("IMPORTRANGE(""https://docs.google.com/spreadsheets/d/1SX6NBoVAgQJ6U1MVXOaj8PK2l7WJ3RER9xtqwdhxkhw/edit?usp=sharing"",""ระยอง!J183"")"),0.0)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IFERROR(__xludf.DUMMYFUNCTION("IMPORTRANGE(""https://docs.google.com/spreadsheets/d/1SX6NBoVAgQJ6U1MVXOaj8PK2l7WJ3RER9xtqwdhxkhw/edit?usp=sharing"",""ระยอง!J184"")"),0.0)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IFERROR(__xludf.DUMMYFUNCTION("IMPORTRANGE(""https://docs.google.com/spreadsheets/d/1SX6NBoVAgQJ6U1MVXOaj8PK2l7WJ3RER9xtqwdhxkhw/edit?usp=sharing"",""ระยอง!I185"")"),15.0)</f>
        <v>15</v>
      </c>
      <c r="J270" s="349">
        <f>IFERROR(__xludf.DUMMYFUNCTION("IMPORTRANGE(""https://docs.google.com/spreadsheets/d/1SX6NBoVAgQJ6U1MVXOaj8PK2l7WJ3RER9xtqwdhxkhw/edit?usp=sharing"",""ระยอง!J185"")"),0.0)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0">
        <f>IFERROR(__xludf.DUMMYFUNCTION("IMPORTRANGE(""https://docs.google.com/spreadsheets/d/1Yj_ptqi66GCucihVvJfMjLAmec39IyEx_6qawtMGysU/edit?usp=sharing"",""สบก!CK72"")"),32250.0)</f>
        <v>32250</v>
      </c>
      <c r="N275" s="203">
        <f>IFERROR(__xludf.DUMMYFUNCTION("IMPORTRANGE(""https://docs.google.com/spreadsheets/d/1Yj_ptqi66GCucihVvJfMjLAmec39IyEx_6qawtMGysU/edit?usp=sharing"",""สบก!CL72"")"),0.0)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IFERROR(__xludf.DUMMYFUNCTION("IMPORTRANGE(""https://docs.google.com/spreadsheets/d/1Yj_ptqi66GCucihVvJfMjLAmec39IyEx_6qawtMGysU/edit?usp=sharing"",""สบก!CG72"")"),0.0)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IFERROR(__xludf.DUMMYFUNCTION("IMPORTRANGE(""https://docs.google.com/spreadsheets/d/1Yj_ptqi66GCucihVvJfMjLAmec39IyEx_6qawtMGysU/edit?usp=sharing"",""สบก!CH72"")"),55200.0)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IFERROR(__xludf.DUMMYFUNCTION("IMPORTRANGE(""https://docs.google.com/spreadsheets/d/1Yj_ptqi66GCucihVvJfMjLAmec39IyEx_6qawtMGysU/edit?usp=sharing"",""สบก!CI72"")"),0.0)</f>
        <v>0</v>
      </c>
      <c r="M279" s="70"/>
      <c r="N279" s="70">
        <f>IFERROR(__xludf.DUMMYFUNCTION("IMPORTRANGE(""https://docs.google.com/spreadsheets/d/1Yj_ptqi66GCucihVvJfMjLAmec39IyEx_6qawtMGysU/edit?usp=sharing"",""สบก!CM72"")"),0.0)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IFERROR(__xludf.DUMMYFUNCTION("IMPORTRANGE(""https://docs.google.com/spreadsheets/d/1SX6NBoVAgQJ6U1MVXOaj8PK2l7WJ3RER9xtqwdhxkhw/edit?usp=sharing"",""ระยอง!J191"")"),0.0)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IFERROR(__xludf.DUMMYFUNCTION("IMPORTRANGE(""https://docs.google.com/spreadsheets/d/1SX6NBoVAgQJ6U1MVXOaj8PK2l7WJ3RER9xtqwdhxkhw/edit?usp=sharing"",""ระยอง!J192"")"),1.0)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IFERROR(__xludf.DUMMYFUNCTION("IMPORTRANGE(""https://docs.google.com/spreadsheets/d/1SX6NBoVAgQJ6U1MVXOaj8PK2l7WJ3RER9xtqwdhxkhw/edit?usp=sharing"",""ระยอง!J193"")"),1.0)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IFERROR(__xludf.DUMMYFUNCTION("IMPORTRANGE(""https://docs.google.com/spreadsheets/d/1SX6NBoVAgQJ6U1MVXOaj8PK2l7WJ3RER9xtqwdhxkhw/edit?usp=sharing"",""ระยอง!J194"")"),1.0)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IFERROR(__xludf.DUMMYFUNCTION("IMPORTRANGE(""https://docs.google.com/spreadsheets/d/1SX6NBoVAgQJ6U1MVXOaj8PK2l7WJ3RER9xtqwdhxkhw/edit?usp=sharing"",""ระยอง!I195"")"),15.0)</f>
        <v>15</v>
      </c>
      <c r="J285" s="223">
        <f>IFERROR(__xludf.DUMMYFUNCTION("IMPORTRANGE(""https://docs.google.com/spreadsheets/d/1SX6NBoVAgQJ6U1MVXOaj8PK2l7WJ3RER9xtqwdhxkhw/edit?usp=sharing"",""ระยอง!J195"")"),0.0)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IFERROR(__xludf.DUMMYFUNCTION("IMPORTRANGE(""https://docs.google.com/spreadsheets/d/1SX6NBoVAgQJ6U1MVXOaj8PK2l7WJ3RER9xtqwdhxkhw/edit?usp=sharing"",""ระยอง!J196"")"),0.0)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IFERROR(__xludf.DUMMYFUNCTION("IMPORTRANGE(""https://docs.google.com/spreadsheets/d/1SX6NBoVAgQJ6U1MVXOaj8PK2l7WJ3RER9xtqwdhxkhw/edit?usp=sharing"",""ระยอง!J197"")"),0.0)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IFERROR(__xludf.DUMMYFUNCTION("IMPORTRANGE(""https://docs.google.com/spreadsheets/d/1SX6NBoVAgQJ6U1MVXOaj8PK2l7WJ3RER9xtqwdhxkhw/edit?usp=sharing"",""ระยอง!I199"")"),0.0)</f>
        <v>0</v>
      </c>
      <c r="J289" s="349">
        <f>IFERROR(__xludf.DUMMYFUNCTION("IMPORTRANGE(""https://docs.google.com/spreadsheets/d/1SX6NBoVAgQJ6U1MVXOaj8PK2l7WJ3RER9xtqwdhxkhw/edit?usp=sharing"",""ระยอง!J199"")"),0.0)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IFERROR(__xludf.DUMMYFUNCTION("IMPORTRANGE(""https://docs.google.com/spreadsheets/d/1Yj_ptqi66GCucihVvJfMjLAmec39IyEx_6qawtMGysU/edit?usp=sharing"",""สบก!CT72"")"),0.0)</f>
        <v>0</v>
      </c>
      <c r="N294" s="203">
        <f>IFERROR(__xludf.DUMMYFUNCTION("IMPORTRANGE(""https://docs.google.com/spreadsheets/d/1Yj_ptqi66GCucihVvJfMjLAmec39IyEx_6qawtMGysU/edit?usp=sharing"",""สบก!CU72"")"),0.0)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IFERROR(__xludf.DUMMYFUNCTION("IMPORTRANGE(""https://docs.google.com/spreadsheets/d/1Yj_ptqi66GCucihVvJfMjLAmec39IyEx_6qawtMGysU/edit?usp=sharing"",""สบก!CP72"")"),0.0)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IFERROR(__xludf.DUMMYFUNCTION("IMPORTRANGE(""https://docs.google.com/spreadsheets/d/1Yj_ptqi66GCucihVvJfMjLAmec39IyEx_6qawtMGysU/edit?usp=sharing"",""สบก!CQ72"")"),0.0)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IFERROR(__xludf.DUMMYFUNCTION("IMPORTRANGE(""https://docs.google.com/spreadsheets/d/1Yj_ptqi66GCucihVvJfMjLAmec39IyEx_6qawtMGysU/edit?usp=sharing"",""สบก!CR72"")"),0.0)</f>
        <v>0</v>
      </c>
      <c r="M298" s="70"/>
      <c r="N298" s="70">
        <f>IFERROR(__xludf.DUMMYFUNCTION("IMPORTRANGE(""https://docs.google.com/spreadsheets/d/1Yj_ptqi66GCucihVvJfMjLAmec39IyEx_6qawtMGysU/edit?usp=sharing"",""สบก!CV72"")"),0.0)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IFERROR(__xludf.DUMMYFUNCTION("IMPORTRANGE(""https://docs.google.com/spreadsheets/d/1SX6NBoVAgQJ6U1MVXOaj8PK2l7WJ3RER9xtqwdhxkhw/edit?usp=sharing"",""ระยอง!J205"")"),0.0)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IFERROR(__xludf.DUMMYFUNCTION("IMPORTRANGE(""https://docs.google.com/spreadsheets/d/1SX6NBoVAgQJ6U1MVXOaj8PK2l7WJ3RER9xtqwdhxkhw/edit?usp=sharing"",""ระยอง!J206"")"),0.0)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IFERROR(__xludf.DUMMYFUNCTION("IMPORTRANGE(""https://docs.google.com/spreadsheets/d/1SX6NBoVAgQJ6U1MVXOaj8PK2l7WJ3RER9xtqwdhxkhw/edit?usp=sharing"",""ระยอง!J207"")"),0.0)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IFERROR(__xludf.DUMMYFUNCTION("IMPORTRANGE(""https://docs.google.com/spreadsheets/d/1SX6NBoVAgQJ6U1MVXOaj8PK2l7WJ3RER9xtqwdhxkhw/edit?usp=sharing"",""ระยอง!J208"")"),0.0)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IFERROR(__xludf.DUMMYFUNCTION("IMPORTRANGE(""https://docs.google.com/spreadsheets/d/1SX6NBoVAgQJ6U1MVXOaj8PK2l7WJ3RER9xtqwdhxkhw/edit?usp=sharing"",""ระยอง!I209"")"),0.0)</f>
        <v>0</v>
      </c>
      <c r="J304" s="238">
        <f>IFERROR(__xludf.DUMMYFUNCTION("IMPORTRANGE(""https://docs.google.com/spreadsheets/d/1SX6NBoVAgQJ6U1MVXOaj8PK2l7WJ3RER9xtqwdhxkhw/edit?usp=sharing"",""ระยอง!J209"")"),0.0)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IFERROR(__xludf.DUMMYFUNCTION("IMPORTRANGE(""https://docs.google.com/spreadsheets/d/1SX6NBoVAgQJ6U1MVXOaj8PK2l7WJ3RER9xtqwdhxkhw/edit?usp=sharing"",""ระยอง!I211"")"),0.0)</f>
        <v>0</v>
      </c>
      <c r="J306" s="238">
        <f>IFERROR(__xludf.DUMMYFUNCTION("IMPORTRANGE(""https://docs.google.com/spreadsheets/d/1SX6NBoVAgQJ6U1MVXOaj8PK2l7WJ3RER9xtqwdhxkhw/edit?usp=sharing"",""ระยอง!J211"")"),0.0)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IFERROR(__xludf.DUMMYFUNCTION("IMPORTRANGE(""https://docs.google.com/spreadsheets/d/1SX6NBoVAgQJ6U1MVXOaj8PK2l7WJ3RER9xtqwdhxkhw/edit?usp=sharing"",""ระยอง!J212"")"),0.0)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IFERROR(__xludf.DUMMYFUNCTION("IMPORTRANGE(""https://docs.google.com/spreadsheets/d/1SX6NBoVAgQJ6U1MVXOaj8PK2l7WJ3RER9xtqwdhxkhw/edit?usp=sharing"",""ระยอง!J213"")"),0.0)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IFERROR(__xludf.DUMMYFUNCTION("IMPORTRANGE(""https://docs.google.com/spreadsheets/d/1SX6NBoVAgQJ6U1MVXOaj8PK2l7WJ3RER9xtqwdhxkhw/edit?usp=sharing"",""ระยอง!I214"")"),0.0)</f>
        <v>0</v>
      </c>
      <c r="J309" s="366">
        <f>IFERROR(__xludf.DUMMYFUNCTION("IMPORTRANGE(""https://docs.google.com/spreadsheets/d/1SX6NBoVAgQJ6U1MVXOaj8PK2l7WJ3RER9xtqwdhxkhw/edit?usp=sharing"",""ระยอง!J214"")"),0.0)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IFERROR(__xludf.DUMMYFUNCTION("IMPORTRANGE(""https://docs.google.com/spreadsheets/d/1Yj_ptqi66GCucihVvJfMjLAmec39IyEx_6qawtMGysU/edit?usp=sharing"",""สบก!DC72"")"),0.0)</f>
        <v>0</v>
      </c>
      <c r="N314" s="203">
        <f>IFERROR(__xludf.DUMMYFUNCTION("IMPORTRANGE(""https://docs.google.com/spreadsheets/d/1Yj_ptqi66GCucihVvJfMjLAmec39IyEx_6qawtMGysU/edit?usp=sharing"",""สบก!DD72"")"),0.0)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IFERROR(__xludf.DUMMYFUNCTION("IMPORTRANGE(""https://docs.google.com/spreadsheets/d/1Yj_ptqi66GCucihVvJfMjLAmec39IyEx_6qawtMGysU/edit?usp=sharing"",""สบก!CY72"")"),0.0)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IFERROR(__xludf.DUMMYFUNCTION("IMPORTRANGE(""https://docs.google.com/spreadsheets/d/1Yj_ptqi66GCucihVvJfMjLAmec39IyEx_6qawtMGysU/edit?usp=sharing"",""สบก!CZ72"")"),0.0)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IFERROR(__xludf.DUMMYFUNCTION("IMPORTRANGE(""https://docs.google.com/spreadsheets/d/1Yj_ptqi66GCucihVvJfMjLAmec39IyEx_6qawtMGysU/edit?usp=sharing"",""สบก!DA72"")"),0.0)</f>
        <v>0</v>
      </c>
      <c r="M318" s="70"/>
      <c r="N318" s="70">
        <f>IFERROR(__xludf.DUMMYFUNCTION("IMPORTRANGE(""https://docs.google.com/spreadsheets/d/1Yj_ptqi66GCucihVvJfMjLAmec39IyEx_6qawtMGysU/edit?usp=sharing"",""สบก!DE72"")"),0.0)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IFERROR(__xludf.DUMMYFUNCTION("IMPORTRANGE(""https://docs.google.com/spreadsheets/d/1SX6NBoVAgQJ6U1MVXOaj8PK2l7WJ3RER9xtqwdhxkhw/edit?usp=sharing"",""ระยอง!J220"")"),0.0)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IFERROR(__xludf.DUMMYFUNCTION("IMPORTRANGE(""https://docs.google.com/spreadsheets/d/1SX6NBoVAgQJ6U1MVXOaj8PK2l7WJ3RER9xtqwdhxkhw/edit?usp=sharing"",""ระยอง!J221"")"),0.0)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IFERROR(__xludf.DUMMYFUNCTION("IMPORTRANGE(""https://docs.google.com/spreadsheets/d/1SX6NBoVAgQJ6U1MVXOaj8PK2l7WJ3RER9xtqwdhxkhw/edit?usp=sharing"",""ระยอง!J222"")"),0.0)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IFERROR(__xludf.DUMMYFUNCTION("IMPORTRANGE(""https://docs.google.com/spreadsheets/d/1SX6NBoVAgQJ6U1MVXOaj8PK2l7WJ3RER9xtqwdhxkhw/edit?usp=sharing"",""ระยอง!J223"")"),0.0)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IFERROR(__xludf.DUMMYFUNCTION("IMPORTRANGE(""https://docs.google.com/spreadsheets/d/1SX6NBoVAgQJ6U1MVXOaj8PK2l7WJ3RER9xtqwdhxkhw/edit?usp=sharing"",""ระยอง!I224"")"),0.0)</f>
        <v>0</v>
      </c>
      <c r="J324" s="238">
        <f>IFERROR(__xludf.DUMMYFUNCTION("IMPORTRANGE(""https://docs.google.com/spreadsheets/d/1SX6NBoVAgQJ6U1MVXOaj8PK2l7WJ3RER9xtqwdhxkhw/edit?usp=sharing"",""ระยอง!J224"")"),0.0)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IFERROR(__xludf.DUMMYFUNCTION("IMPORTRANGE(""https://docs.google.com/spreadsheets/d/1SX6NBoVAgQJ6U1MVXOaj8PK2l7WJ3RER9xtqwdhxkhw/edit?usp=sharing"",""ระยอง!J225"")"),0.0)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IFERROR(__xludf.DUMMYFUNCTION("IMPORTRANGE(""https://docs.google.com/spreadsheets/d/1SX6NBoVAgQJ6U1MVXOaj8PK2l7WJ3RER9xtqwdhxkhw/edit?usp=sharing"",""ระยอง!J226"")"),0.0)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IFERROR(__xludf.DUMMYFUNCTION("IMPORTRANGE(""https://docs.google.com/spreadsheets/d/1SX6NBoVAgQJ6U1MVXOaj8PK2l7WJ3RER9xtqwdhxkhw/edit?usp=sharing"",""ระยอง!I228"")"),62.0)</f>
        <v>62</v>
      </c>
      <c r="J328" s="372">
        <f>IFERROR(__xludf.DUMMYFUNCTION("IMPORTRANGE(""https://docs.google.com/spreadsheets/d/1SX6NBoVAgQJ6U1MVXOaj8PK2l7WJ3RER9xtqwdhxkhw/edit?usp=sharing"",""ระยอง!J228"")"),0.0)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786020</v>
      </c>
      <c r="M329" s="183">
        <f t="shared" si="99"/>
        <v>331610</v>
      </c>
      <c r="N329" s="183">
        <f t="shared" si="99"/>
        <v>291584</v>
      </c>
      <c r="O329" s="182">
        <f t="shared" ref="O329:O331" si="101">IF(L329&gt;0,N329*100/L329,0)</f>
        <v>37.09625709</v>
      </c>
      <c r="P329" s="182">
        <f t="shared" ref="P329:P331" si="102">IF(M329&gt;0,N329*100/M329,0)</f>
        <v>87.92979705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786020</v>
      </c>
      <c r="M331" s="188">
        <f t="shared" si="103"/>
        <v>331610</v>
      </c>
      <c r="N331" s="188">
        <f t="shared" si="103"/>
        <v>291584</v>
      </c>
      <c r="O331" s="187">
        <f t="shared" si="101"/>
        <v>37.09625709</v>
      </c>
      <c r="P331" s="187">
        <f t="shared" si="102"/>
        <v>87.92979705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639020</v>
      </c>
      <c r="M333" s="200">
        <f>IFERROR(__xludf.DUMMYFUNCTION("IMPORTRANGE(""https://docs.google.com/spreadsheets/d/1Yj_ptqi66GCucihVvJfMjLAmec39IyEx_6qawtMGysU/edit?usp=sharing"",""สบก!DL72"")"),331610.0)</f>
        <v>331610</v>
      </c>
      <c r="N333" s="203">
        <f>IFERROR(__xludf.DUMMYFUNCTION("IMPORTRANGE(""https://docs.google.com/spreadsheets/d/1Yj_ptqi66GCucihVvJfMjLAmec39IyEx_6qawtMGysU/edit?usp=sharing"",""สบก!DM72"")"),144584.0)</f>
        <v>144584</v>
      </c>
      <c r="O333" s="203">
        <f>IF(L333&gt;0,N333*100/L333,0)</f>
        <v>22.6258959</v>
      </c>
      <c r="P333" s="203">
        <f>IF(M333&gt;0,N333*100/M333,0)</f>
        <v>43.60061518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IFERROR(__xludf.DUMMYFUNCTION("IMPORTRANGE(""https://docs.google.com/spreadsheets/d/1Yj_ptqi66GCucihVvJfMjLAmec39IyEx_6qawtMGysU/edit?usp=sharing"",""สบก!DH72"")"),381200.0)</f>
        <v>381200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IFERROR(__xludf.DUMMYFUNCTION("IMPORTRANGE(""https://docs.google.com/spreadsheets/d/1Yj_ptqi66GCucihVvJfMjLAmec39IyEx_6qawtMGysU/edit?usp=sharing"",""สบก!DI72"")"),257820.0)</f>
        <v>257820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IFERROR(__xludf.DUMMYFUNCTION("IMPORTRANGE(""https://docs.google.com/spreadsheets/d/1Yj_ptqi66GCucihVvJfMjLAmec39IyEx_6qawtMGysU/edit?usp=sharing"",""สบก!DJ72"")"),147000.0)</f>
        <v>147000</v>
      </c>
      <c r="M337" s="70"/>
      <c r="N337" s="70">
        <f>IFERROR(__xludf.DUMMYFUNCTION("IMPORTRANGE(""https://docs.google.com/spreadsheets/d/1Yj_ptqi66GCucihVvJfMjLAmec39IyEx_6qawtMGysU/edit?usp=sharing"",""สบก!DN72"")"),147000.0)</f>
        <v>147000</v>
      </c>
      <c r="O337" s="70">
        <f>IF(L337&gt;0,N337*100/L337,0)</f>
        <v>100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IFERROR(__xludf.DUMMYFUNCTION("IMPORTRANGE(""https://docs.google.com/spreadsheets/d/1SX6NBoVAgQJ6U1MVXOaj8PK2l7WJ3RER9xtqwdhxkhw/edit?usp=sharing"",""ระยอง!I234"")"),0.0)</f>
        <v>0</v>
      </c>
      <c r="J339" s="222">
        <f>IFERROR(__xludf.DUMMYFUNCTION("IMPORTRANGE(""https://docs.google.com/spreadsheets/d/1SX6NBoVAgQJ6U1MVXOaj8PK2l7WJ3RER9xtqwdhxkhw/edit?usp=sharing"",""ระยอง!J234"")"),21.0)</f>
        <v>21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IFERROR(__xludf.DUMMYFUNCTION("IMPORTRANGE(""https://docs.google.com/spreadsheets/d/1SX6NBoVAgQJ6U1MVXOaj8PK2l7WJ3RER9xtqwdhxkhw/edit?usp=sharing"",""ระยอง!I235"")"),775.0)</f>
        <v>775</v>
      </c>
      <c r="J340" s="222">
        <f>IFERROR(__xludf.DUMMYFUNCTION("IMPORTRANGE(""https://docs.google.com/spreadsheets/d/1SX6NBoVAgQJ6U1MVXOaj8PK2l7WJ3RER9xtqwdhxkhw/edit?usp=sharing"",""ระยอง!J235"")"),53.02)</f>
        <v>53.02</v>
      </c>
      <c r="K340" s="375">
        <f t="shared" si="104"/>
        <v>6.841290323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IFERROR(__xludf.DUMMYFUNCTION("IMPORTRANGE(""https://docs.google.com/spreadsheets/d/1SX6NBoVAgQJ6U1MVXOaj8PK2l7WJ3RER9xtqwdhxkhw/edit?usp=sharing"",""ระยอง!I236"")"),62.0)</f>
        <v>62</v>
      </c>
      <c r="J341" s="222">
        <f>IFERROR(__xludf.DUMMYFUNCTION("IMPORTRANGE(""https://docs.google.com/spreadsheets/d/1SX6NBoVAgQJ6U1MVXOaj8PK2l7WJ3RER9xtqwdhxkhw/edit?usp=sharing"",""ระยอง!J236"")"),18.0)</f>
        <v>18</v>
      </c>
      <c r="K341" s="375">
        <f t="shared" si="104"/>
        <v>29.03225806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IFERROR(__xludf.DUMMYFUNCTION("IMPORTRANGE(""https://docs.google.com/spreadsheets/d/1SX6NBoVAgQJ6U1MVXOaj8PK2l7WJ3RER9xtqwdhxkhw/edit?usp=sharing"",""ระยอง!I237"")"),0.0)</f>
        <v>0</v>
      </c>
      <c r="J342" s="222">
        <f>IFERROR(__xludf.DUMMYFUNCTION("IMPORTRANGE(""https://docs.google.com/spreadsheets/d/1SX6NBoVAgQJ6U1MVXOaj8PK2l7WJ3RER9xtqwdhxkhw/edit?usp=sharing"",""ระยอง!J237"")"),61.84)</f>
        <v>61.84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IFERROR(__xludf.DUMMYFUNCTION("IMPORTRANGE(""https://docs.google.com/spreadsheets/d/1SX6NBoVAgQJ6U1MVXOaj8PK2l7WJ3RER9xtqwdhxkhw/edit?usp=sharing"",""ระยอง!I238"")"),62.0)</f>
        <v>62</v>
      </c>
      <c r="J343" s="222">
        <f>IFERROR(__xludf.DUMMYFUNCTION("IMPORTRANGE(""https://docs.google.com/spreadsheets/d/1SX6NBoVAgQJ6U1MVXOaj8PK2l7WJ3RER9xtqwdhxkhw/edit?usp=sharing"",""ระยอง!J238"")"),0.0)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IFERROR(__xludf.DUMMYFUNCTION("IMPORTRANGE(""https://docs.google.com/spreadsheets/d/1SX6NBoVAgQJ6U1MVXOaj8PK2l7WJ3RER9xtqwdhxkhw/edit?usp=sharing"",""ระยอง!I239"")"),0.0)</f>
        <v>0</v>
      </c>
      <c r="J344" s="222">
        <f>IFERROR(__xludf.DUMMYFUNCTION("IMPORTRANGE(""https://docs.google.com/spreadsheets/d/1SX6NBoVAgQJ6U1MVXOaj8PK2l7WJ3RER9xtqwdhxkhw/edit?usp=sharing"",""ระยอง!J239"")"),0.0)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IFERROR(__xludf.DUMMYFUNCTION("IMPORTRANGE(""https://docs.google.com/spreadsheets/d/1SX6NBoVAgQJ6U1MVXOaj8PK2l7WJ3RER9xtqwdhxkhw/edit?usp=sharing"",""ระยอง!I240"")"),62.0)</f>
        <v>62</v>
      </c>
      <c r="J345" s="222">
        <f>IFERROR(__xludf.DUMMYFUNCTION("IMPORTRANGE(""https://docs.google.com/spreadsheets/d/1SX6NBoVAgQJ6U1MVXOaj8PK2l7WJ3RER9xtqwdhxkhw/edit?usp=sharing"",""ระยอง!J240"")"),0.0)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IFERROR(__xludf.DUMMYFUNCTION("IMPORTRANGE(""https://docs.google.com/spreadsheets/d/1SX6NBoVAgQJ6U1MVXOaj8PK2l7WJ3RER9xtqwdhxkhw/edit?usp=sharing"",""ระยอง!I241"")"),0.0)</f>
        <v>0</v>
      </c>
      <c r="J346" s="222">
        <f>IFERROR(__xludf.DUMMYFUNCTION("IMPORTRANGE(""https://docs.google.com/spreadsheets/d/1SX6NBoVAgQJ6U1MVXOaj8PK2l7WJ3RER9xtqwdhxkhw/edit?usp=sharing"",""ระยอง!J241"")"),0.0)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IFERROR(__xludf.DUMMYFUNCTION("IMPORTRANGE(""https://docs.google.com/spreadsheets/d/1SX6NBoVAgQJ6U1MVXOaj8PK2l7WJ3RER9xtqwdhxkhw/edit?usp=sharing"",""ระยอง!L242"")"),1085849.0)</f>
        <v>1085849</v>
      </c>
      <c r="M347" s="391"/>
      <c r="N347" s="391">
        <f>IFERROR(__xludf.DUMMYFUNCTION("IMPORTRANGE(""https://docs.google.com/spreadsheets/d/1SX6NBoVAgQJ6U1MVXOaj8PK2l7WJ3RER9xtqwdhxkhw/edit?usp=sharing"",""ระยอง!M242"")"),48743.0)</f>
        <v>48743</v>
      </c>
      <c r="O347" s="391">
        <f>+IF(L347&gt;0,N347*100/L347,0)</f>
        <v>4.48892986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IFERROR(__xludf.DUMMYFUNCTION("IMPORTRANGE(""https://docs.google.com/spreadsheets/d/1SX6NBoVAgQJ6U1MVXOaj8PK2l7WJ3RER9xtqwdhxkhw/edit?usp=sharing"",""ระยอง!I244"")"),80.0)</f>
        <v>80</v>
      </c>
      <c r="J349" s="404">
        <f>IFERROR(__xludf.DUMMYFUNCTION("IMPORTRANGE(""https://docs.google.com/spreadsheets/d/1SX6NBoVAgQJ6U1MVXOaj8PK2l7WJ3RER9xtqwdhxkhw/edit?usp=sharing"",""ระยอง!J244"")"),0.0)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IFERROR(__xludf.DUMMYFUNCTION("IMPORTRANGE(""https://docs.google.com/spreadsheets/d/1SX6NBoVAgQJ6U1MVXOaj8PK2l7WJ3RER9xtqwdhxkhw/edit?usp=sharing"",""ระยอง!L244"")"),280560.0)</f>
        <v>280560</v>
      </c>
      <c r="M349" s="406"/>
      <c r="N349" s="406">
        <f>IFERROR(__xludf.DUMMYFUNCTION("IMPORTRANGE(""https://docs.google.com/spreadsheets/d/1SX6NBoVAgQJ6U1MVXOaj8PK2l7WJ3RER9xtqwdhxkhw/edit?usp=sharing"",""ระยอง!M244"")"),10633.0)</f>
        <v>10633</v>
      </c>
      <c r="O349" s="406">
        <f>+IF(L349&gt;0,N349*100/L349,0)</f>
        <v>3.78992016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IFERROR(__xludf.DUMMYFUNCTION("IMPORTRANGE(""https://docs.google.com/spreadsheets/d/1SX6NBoVAgQJ6U1MVXOaj8PK2l7WJ3RER9xtqwdhxkhw/edit?usp=sharing"",""ระยอง!I245"")"),25.0)</f>
        <v>25</v>
      </c>
      <c r="J350" s="404">
        <f>IFERROR(__xludf.DUMMYFUNCTION("IMPORTRANGE(""https://docs.google.com/spreadsheets/d/1SX6NBoVAgQJ6U1MVXOaj8PK2l7WJ3RER9xtqwdhxkhw/edit?usp=sharing"",""ระยอง!J245"")"),0.0)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IFERROR(__xludf.DUMMYFUNCTION("IMPORTRANGE(""https://docs.google.com/spreadsheets/d/1SX6NBoVAgQJ6U1MVXOaj8PK2l7WJ3RER9xtqwdhxkhw/edit?usp=sharing"",""ระยอง!L246"")"),0.0)</f>
        <v>0</v>
      </c>
      <c r="M351" s="197"/>
      <c r="N351" s="197">
        <f>IFERROR(__xludf.DUMMYFUNCTION("IMPORTRANGE(""https://docs.google.com/spreadsheets/d/1SX6NBoVAgQJ6U1MVXOaj8PK2l7WJ3RER9xtqwdhxkhw/edit?usp=sharing"",""ระยอง!M246"")"),0.0)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IFERROR(__xludf.DUMMYFUNCTION("IMPORTRANGE(""https://docs.google.com/spreadsheets/d/1SX6NBoVAgQJ6U1MVXOaj8PK2l7WJ3RER9xtqwdhxkhw/edit?usp=sharing"",""ระยอง!L247"")"),280560.0)</f>
        <v>280560</v>
      </c>
      <c r="M352" s="198"/>
      <c r="N352" s="197">
        <f>IFERROR(__xludf.DUMMYFUNCTION("IMPORTRANGE(""https://docs.google.com/spreadsheets/d/1SX6NBoVAgQJ6U1MVXOaj8PK2l7WJ3RER9xtqwdhxkhw/edit?usp=sharing"",""ระยอง!M247"")"),10633.0)</f>
        <v>10633</v>
      </c>
      <c r="O352" s="198">
        <f t="shared" si="106"/>
        <v>3.78992016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IFERROR(__xludf.DUMMYFUNCTION("IMPORTRANGE(""https://docs.google.com/spreadsheets/d/1SX6NBoVAgQJ6U1MVXOaj8PK2l7WJ3RER9xtqwdhxkhw/edit?usp=sharing"",""ระยอง!L248"")"),0.0)</f>
        <v>0</v>
      </c>
      <c r="M353" s="203"/>
      <c r="N353" s="203">
        <f>IFERROR(__xludf.DUMMYFUNCTION("IMPORTRANGE(""https://docs.google.com/spreadsheets/d/1SX6NBoVAgQJ6U1MVXOaj8PK2l7WJ3RER9xtqwdhxkhw/edit?usp=sharing"",""ระยอง!M248"")"),0.0)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IFERROR(__xludf.DUMMYFUNCTION("IMPORTRANGE(""https://docs.google.com/spreadsheets/d/1SX6NBoVAgQJ6U1MVXOaj8PK2l7WJ3RER9xtqwdhxkhw/edit?usp=sharing"",""ระยอง!L249"")"),280560.0)</f>
        <v>280560</v>
      </c>
      <c r="M354" s="203"/>
      <c r="N354" s="200">
        <f>IFERROR(__xludf.DUMMYFUNCTION("IMPORTRANGE(""https://docs.google.com/spreadsheets/d/1SX6NBoVAgQJ6U1MVXOaj8PK2l7WJ3RER9xtqwdhxkhw/edit?usp=sharing"",""ระยอง!M249"")"),10633.0)</f>
        <v>10633</v>
      </c>
      <c r="O354" s="203">
        <f t="shared" si="106"/>
        <v>3.78992016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IFERROR(__xludf.DUMMYFUNCTION("IMPORTRANGE(""https://docs.google.com/spreadsheets/d/1SX6NBoVAgQJ6U1MVXOaj8PK2l7WJ3RER9xtqwdhxkhw/edit?usp=sharing"",""ระยอง!M250"")"),0.0)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IFERROR(__xludf.DUMMYFUNCTION("IMPORTRANGE(""https://docs.google.com/spreadsheets/d/1SX6NBoVAgQJ6U1MVXOaj8PK2l7WJ3RER9xtqwdhxkhw/edit?usp=sharing"",""ระยอง!M251"")"),0.0)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IFERROR(__xludf.DUMMYFUNCTION("IMPORTRANGE(""https://docs.google.com/spreadsheets/d/1SX6NBoVAgQJ6U1MVXOaj8PK2l7WJ3RER9xtqwdhxkhw/edit?usp=sharing"",""ระยอง!M252"")"),10633.0)</f>
        <v>10633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IFERROR(__xludf.DUMMYFUNCTION("IMPORTRANGE(""https://docs.google.com/spreadsheets/d/1SX6NBoVAgQJ6U1MVXOaj8PK2l7WJ3RER9xtqwdhxkhw/edit?usp=sharing"",""ระยอง!M253"")"),0.0)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IFERROR(__xludf.DUMMYFUNCTION("IMPORTRANGE(""https://docs.google.com/spreadsheets/d/1SX6NBoVAgQJ6U1MVXOaj8PK2l7WJ3RER9xtqwdhxkhw/edit?usp=sharing"",""ระยอง!J255"")"),0.0)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IFERROR(__xludf.DUMMYFUNCTION("IMPORTRANGE(""https://docs.google.com/spreadsheets/d/1SX6NBoVAgQJ6U1MVXOaj8PK2l7WJ3RER9xtqwdhxkhw/edit?usp=sharing"",""ระยอง!J256"")"),1.0)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IFERROR(__xludf.DUMMYFUNCTION("IMPORTRANGE(""https://docs.google.com/spreadsheets/d/1SX6NBoVAgQJ6U1MVXOaj8PK2l7WJ3RER9xtqwdhxkhw/edit?usp=sharing"",""ระยอง!J257"")"),1.0)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IFERROR(__xludf.DUMMYFUNCTION("IMPORTRANGE(""https://docs.google.com/spreadsheets/d/1SX6NBoVAgQJ6U1MVXOaj8PK2l7WJ3RER9xtqwdhxkhw/edit?usp=sharing"",""ระยอง!J258"")"),0.0)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IFERROR(__xludf.DUMMYFUNCTION("IMPORTRANGE(""https://docs.google.com/spreadsheets/d/1SX6NBoVAgQJ6U1MVXOaj8PK2l7WJ3RER9xtqwdhxkhw/edit?usp=sharing"",""ระยอง!J166"")"),0.0)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IFERROR(__xludf.DUMMYFUNCTION("IMPORTRANGE(""https://docs.google.com/spreadsheets/d/1SX6NBoVAgQJ6U1MVXOaj8PK2l7WJ3RER9xtqwdhxkhw/edit?usp=sharing"",""ระยอง!J166"")"),0.0)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IFERROR(__xludf.DUMMYFUNCTION("IMPORTRANGE(""https://docs.google.com/spreadsheets/d/1SX6NBoVAgQJ6U1MVXOaj8PK2l7WJ3RER9xtqwdhxkhw/edit?usp=sharing"",""ระยอง!J166"")"),0.0)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IFERROR(__xludf.DUMMYFUNCTION("IMPORTRANGE(""https://docs.google.com/spreadsheets/d/1SX6NBoVAgQJ6U1MVXOaj8PK2l7WJ3RER9xtqwdhxkhw/edit?usp=sharing"",""ระยอง!J166"")"),0.0)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IFERROR(__xludf.DUMMYFUNCTION("IMPORTRANGE(""https://docs.google.com/spreadsheets/d/1SX6NBoVAgQJ6U1MVXOaj8PK2l7WJ3RER9xtqwdhxkhw/edit?usp=sharing"",""ระยอง!I263"")"),25.0)</f>
        <v>25</v>
      </c>
      <c r="J368" s="222">
        <f>IFERROR(__xludf.DUMMYFUNCTION("IMPORTRANGE(""https://docs.google.com/spreadsheets/d/1SX6NBoVAgQJ6U1MVXOaj8PK2l7WJ3RER9xtqwdhxkhw/edit?usp=sharing"",""ระยอง!J263"")"),0.0)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IFERROR(__xludf.DUMMYFUNCTION("IMPORTRANGE(""https://docs.google.com/spreadsheets/d/1SX6NBoVAgQJ6U1MVXOaj8PK2l7WJ3RER9xtqwdhxkhw/edit?usp=sharing"",""ระยอง!I164"")"),0.0)</f>
        <v>0</v>
      </c>
      <c r="J369" s="238">
        <f>IFERROR(__xludf.DUMMYFUNCTION("IMPORTRANGE(""https://docs.google.com/spreadsheets/d/1SX6NBoVAgQJ6U1MVXOaj8PK2l7WJ3RER9xtqwdhxkhw/edit?usp=sharing"",""ระยอง!J164"")"),0.0)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IFERROR(__xludf.DUMMYFUNCTION("IMPORTRANGE(""https://docs.google.com/spreadsheets/d/1SX6NBoVAgQJ6U1MVXOaj8PK2l7WJ3RER9xtqwdhxkhw/edit?usp=sharing"",""ระยอง!I265"")"),25.0)</f>
        <v>25</v>
      </c>
      <c r="J370" s="238">
        <f>IFERROR(__xludf.DUMMYFUNCTION("IMPORTRANGE(""https://docs.google.com/spreadsheets/d/1SX6NBoVAgQJ6U1MVXOaj8PK2l7WJ3RER9xtqwdhxkhw/edit?usp=sharing"",""ระยอง!J265"")"),0.0)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IFERROR(__xludf.DUMMYFUNCTION("IMPORTRANGE(""https://docs.google.com/spreadsheets/d/1SX6NBoVAgQJ6U1MVXOaj8PK2l7WJ3RER9xtqwdhxkhw/edit?usp=sharing"",""ระยอง!I164"")"),0.0)</f>
        <v>0</v>
      </c>
      <c r="J371" s="223">
        <f>IFERROR(__xludf.DUMMYFUNCTION("IMPORTRANGE(""https://docs.google.com/spreadsheets/d/1SX6NBoVAgQJ6U1MVXOaj8PK2l7WJ3RER9xtqwdhxkhw/edit?usp=sharing"",""ระยอง!J164"")"),0.0)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IFERROR(__xludf.DUMMYFUNCTION("IMPORTRANGE(""https://docs.google.com/spreadsheets/d/1SX6NBoVAgQJ6U1MVXOaj8PK2l7WJ3RER9xtqwdhxkhw/edit?usp=sharing"",""ระยอง!I267"")"),25.0)</f>
        <v>25</v>
      </c>
      <c r="J372" s="223">
        <f>IFERROR(__xludf.DUMMYFUNCTION("IMPORTRANGE(""https://docs.google.com/spreadsheets/d/1SX6NBoVAgQJ6U1MVXOaj8PK2l7WJ3RER9xtqwdhxkhw/edit?usp=sharing"",""ระยอง!J267"")"),0.0)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IFERROR(__xludf.DUMMYFUNCTION("IMPORTRANGE(""https://docs.google.com/spreadsheets/d/1SX6NBoVAgQJ6U1MVXOaj8PK2l7WJ3RER9xtqwdhxkhw/edit?usp=sharing"",""ระยอง!I164"")"),0.0)</f>
        <v>0</v>
      </c>
      <c r="J373" s="238">
        <f>IFERROR(__xludf.DUMMYFUNCTION("IMPORTRANGE(""https://docs.google.com/spreadsheets/d/1SX6NBoVAgQJ6U1MVXOaj8PK2l7WJ3RER9xtqwdhxkhw/edit?usp=sharing"",""ระยอง!J164"")"),0.0)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IFERROR(__xludf.DUMMYFUNCTION("IMPORTRANGE(""https://docs.google.com/spreadsheets/d/1SX6NBoVAgQJ6U1MVXOaj8PK2l7WJ3RER9xtqwdhxkhw/edit?usp=sharing"",""ระยอง!I164"")"),0.0)</f>
        <v>0</v>
      </c>
      <c r="J374" s="222">
        <f>IFERROR(__xludf.DUMMYFUNCTION("IMPORTRANGE(""https://docs.google.com/spreadsheets/d/1SX6NBoVAgQJ6U1MVXOaj8PK2l7WJ3RER9xtqwdhxkhw/edit?usp=sharing"",""ระยอง!J164"")"),0.0)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IFERROR(__xludf.DUMMYFUNCTION("IMPORTRANGE(""https://docs.google.com/spreadsheets/d/1SX6NBoVAgQJ6U1MVXOaj8PK2l7WJ3RER9xtqwdhxkhw/edit?usp=sharing"",""ระยอง!I270"")"),80.0)</f>
        <v>80</v>
      </c>
      <c r="J375" s="222">
        <f>IFERROR(__xludf.DUMMYFUNCTION("IMPORTRANGE(""https://docs.google.com/spreadsheets/d/1SX6NBoVAgQJ6U1MVXOaj8PK2l7WJ3RER9xtqwdhxkhw/edit?usp=sharing"",""ระยอง!J270"")"),0.0)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IFERROR(__xludf.DUMMYFUNCTION("IMPORTRANGE(""https://docs.google.com/spreadsheets/d/1SX6NBoVAgQJ6U1MVXOaj8PK2l7WJ3RER9xtqwdhxkhw/edit?usp=sharing"",""ระยอง!I271"")"),15.0)</f>
        <v>15</v>
      </c>
      <c r="J376" s="223">
        <f>IFERROR(__xludf.DUMMYFUNCTION("IMPORTRANGE(""https://docs.google.com/spreadsheets/d/1SX6NBoVAgQJ6U1MVXOaj8PK2l7WJ3RER9xtqwdhxkhw/edit?usp=sharing"",""ระยอง!J271"")"),0.0)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IFERROR(__xludf.DUMMYFUNCTION("IMPORTRANGE(""https://docs.google.com/spreadsheets/d/1SX6NBoVAgQJ6U1MVXOaj8PK2l7WJ3RER9xtqwdhxkhw/edit?usp=sharing"",""ระยอง!I272"")"),65.0)</f>
        <v>65</v>
      </c>
      <c r="J377" s="238">
        <f>IFERROR(__xludf.DUMMYFUNCTION("IMPORTRANGE(""https://docs.google.com/spreadsheets/d/1SX6NBoVAgQJ6U1MVXOaj8PK2l7WJ3RER9xtqwdhxkhw/edit?usp=sharing"",""ระยอง!J272"")"),0.0)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IFERROR(__xludf.DUMMYFUNCTION("IMPORTRANGE(""https://docs.google.com/spreadsheets/d/1SX6NBoVAgQJ6U1MVXOaj8PK2l7WJ3RER9xtqwdhxkhw/edit?usp=sharing"",""ระยอง!J273"")"),0.0)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IFERROR(__xludf.DUMMYFUNCTION("IMPORTRANGE(""https://docs.google.com/spreadsheets/d/1SX6NBoVAgQJ6U1MVXOaj8PK2l7WJ3RER9xtqwdhxkhw/edit?usp=sharing"",""ระยอง!J274"")"),0.0)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IFERROR(__xludf.DUMMYFUNCTION("IMPORTRANGE(""https://docs.google.com/spreadsheets/d/1SX6NBoVAgQJ6U1MVXOaj8PK2l7WJ3RER9xtqwdhxkhw/edit?usp=sharing"",""ระยอง!I275"")"),200.0)</f>
        <v>200</v>
      </c>
      <c r="J380" s="404">
        <f>IFERROR(__xludf.DUMMYFUNCTION("IMPORTRANGE(""https://docs.google.com/spreadsheets/d/1SX6NBoVAgQJ6U1MVXOaj8PK2l7WJ3RER9xtqwdhxkhw/edit?usp=sharing"",""ระยอง!J275"")"),0.0)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IFERROR(__xludf.DUMMYFUNCTION("IMPORTRANGE(""https://docs.google.com/spreadsheets/d/1SX6NBoVAgQJ6U1MVXOaj8PK2l7WJ3RER9xtqwdhxkhw/edit?usp=sharing"",""ระยอง!L275"")"),207560.0)</f>
        <v>207560</v>
      </c>
      <c r="M380" s="406"/>
      <c r="N380" s="406">
        <f>IFERROR(__xludf.DUMMYFUNCTION("IMPORTRANGE(""https://docs.google.com/spreadsheets/d/1SX6NBoVAgQJ6U1MVXOaj8PK2l7WJ3RER9xtqwdhxkhw/edit?usp=sharing"",""ระยอง!M275"")"),1830.0)</f>
        <v>1830</v>
      </c>
      <c r="O380" s="406">
        <f>+IF(L380&gt;0,N380*100/L380,0)</f>
        <v>0.8816727693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IFERROR(__xludf.DUMMYFUNCTION("IMPORTRANGE(""https://docs.google.com/spreadsheets/d/1SX6NBoVAgQJ6U1MVXOaj8PK2l7WJ3RER9xtqwdhxkhw/edit?usp=sharing"",""ระยอง!I276"")"),20.0)</f>
        <v>20</v>
      </c>
      <c r="J381" s="404">
        <f>IFERROR(__xludf.DUMMYFUNCTION("IMPORTRANGE(""https://docs.google.com/spreadsheets/d/1SX6NBoVAgQJ6U1MVXOaj8PK2l7WJ3RER9xtqwdhxkhw/edit?usp=sharing"",""ระยอง!J276"")"),0.0)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IFERROR(__xludf.DUMMYFUNCTION("IMPORTRANGE(""https://docs.google.com/spreadsheets/d/1SX6NBoVAgQJ6U1MVXOaj8PK2l7WJ3RER9xtqwdhxkhw/edit?usp=sharing"",""ระยอง!L277"")"),0.0)</f>
        <v>0</v>
      </c>
      <c r="M382" s="197"/>
      <c r="N382" s="197">
        <f>IFERROR(__xludf.DUMMYFUNCTION("IMPORTRANGE(""https://docs.google.com/spreadsheets/d/1SX6NBoVAgQJ6U1MVXOaj8PK2l7WJ3RER9xtqwdhxkhw/edit?usp=sharing"",""ระยอง!M277"")"),0.0)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IFERROR(__xludf.DUMMYFUNCTION("IMPORTRANGE(""https://docs.google.com/spreadsheets/d/1SX6NBoVAgQJ6U1MVXOaj8PK2l7WJ3RER9xtqwdhxkhw/edit?usp=sharing"",""ระยอง!L278"")"),207560.0)</f>
        <v>207560</v>
      </c>
      <c r="M383" s="198"/>
      <c r="N383" s="198">
        <f>IFERROR(__xludf.DUMMYFUNCTION("IMPORTRANGE(""https://docs.google.com/spreadsheets/d/1SX6NBoVAgQJ6U1MVXOaj8PK2l7WJ3RER9xtqwdhxkhw/edit?usp=sharing"",""ระยอง!M278"")"),1830.0)</f>
        <v>1830</v>
      </c>
      <c r="O383" s="198">
        <f t="shared" si="110"/>
        <v>0.8816727693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IFERROR(__xludf.DUMMYFUNCTION("IMPORTRANGE(""https://docs.google.com/spreadsheets/d/1SX6NBoVAgQJ6U1MVXOaj8PK2l7WJ3RER9xtqwdhxkhw/edit?usp=sharing"",""ระยอง!L279"")"),0.0)</f>
        <v>0</v>
      </c>
      <c r="M384" s="203"/>
      <c r="N384" s="203">
        <f>IFERROR(__xludf.DUMMYFUNCTION("IMPORTRANGE(""https://docs.google.com/spreadsheets/d/1SX6NBoVAgQJ6U1MVXOaj8PK2l7WJ3RER9xtqwdhxkhw/edit?usp=sharing"",""ระยอง!M279"")"),0.0)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IFERROR(__xludf.DUMMYFUNCTION("IMPORTRANGE(""https://docs.google.com/spreadsheets/d/1SX6NBoVAgQJ6U1MVXOaj8PK2l7WJ3RER9xtqwdhxkhw/edit?usp=sharing"",""ระยอง!L280"")"),207560.0)</f>
        <v>207560</v>
      </c>
      <c r="M385" s="203"/>
      <c r="N385" s="200">
        <f>IFERROR(__xludf.DUMMYFUNCTION("IMPORTRANGE(""https://docs.google.com/spreadsheets/d/1SX6NBoVAgQJ6U1MVXOaj8PK2l7WJ3RER9xtqwdhxkhw/edit?usp=sharing"",""ระยอง!M280"")"),1830.0)</f>
        <v>1830</v>
      </c>
      <c r="O385" s="203">
        <f t="shared" si="110"/>
        <v>0.8816727693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IFERROR(__xludf.DUMMYFUNCTION("IMPORTRANGE(""https://docs.google.com/spreadsheets/d/1SX6NBoVAgQJ6U1MVXOaj8PK2l7WJ3RER9xtqwdhxkhw/edit?usp=sharing"",""ระยอง!M281"")"),0.0)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IFERROR(__xludf.DUMMYFUNCTION("IMPORTRANGE(""https://docs.google.com/spreadsheets/d/1SX6NBoVAgQJ6U1MVXOaj8PK2l7WJ3RER9xtqwdhxkhw/edit?usp=sharing"",""ระยอง!M282"")"),0.0)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IFERROR(__xludf.DUMMYFUNCTION("IMPORTRANGE(""https://docs.google.com/spreadsheets/d/1SX6NBoVAgQJ6U1MVXOaj8PK2l7WJ3RER9xtqwdhxkhw/edit?usp=sharing"",""ระยอง!M283"")"),0.0)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IFERROR(__xludf.DUMMYFUNCTION("IMPORTRANGE(""https://docs.google.com/spreadsheets/d/1SX6NBoVAgQJ6U1MVXOaj8PK2l7WJ3RER9xtqwdhxkhw/edit?usp=sharing"",""ระยอง!M284"")"),1830.0)</f>
        <v>1830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IFERROR(__xludf.DUMMYFUNCTION("IMPORTRANGE(""https://docs.google.com/spreadsheets/d/1SX6NBoVAgQJ6U1MVXOaj8PK2l7WJ3RER9xtqwdhxkhw/edit?usp=sharing"",""ระยอง!J286"")"),0.0)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IFERROR(__xludf.DUMMYFUNCTION("IMPORTRANGE(""https://docs.google.com/spreadsheets/d/1SX6NBoVAgQJ6U1MVXOaj8PK2l7WJ3RER9xtqwdhxkhw/edit?usp=sharing"",""ระยอง!J287"")"),1.0)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IFERROR(__xludf.DUMMYFUNCTION("IMPORTRANGE(""https://docs.google.com/spreadsheets/d/1SX6NBoVAgQJ6U1MVXOaj8PK2l7WJ3RER9xtqwdhxkhw/edit?usp=sharing"",""ระยอง!J288"")"),1.0)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IFERROR(__xludf.DUMMYFUNCTION("IMPORTRANGE(""https://docs.google.com/spreadsheets/d/1SX6NBoVAgQJ6U1MVXOaj8PK2l7WJ3RER9xtqwdhxkhw/edit?usp=sharing"",""ระยอง!J289"")"),0.0)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IFERROR(__xludf.DUMMYFUNCTION("IMPORTRANGE(""https://docs.google.com/spreadsheets/d/1SX6NBoVAgQJ6U1MVXOaj8PK2l7WJ3RER9xtqwdhxkhw/edit?usp=sharing"",""ระยอง!I291"")"),20.0)</f>
        <v>20</v>
      </c>
      <c r="J396" s="232">
        <f>IFERROR(__xludf.DUMMYFUNCTION("IMPORTRANGE(""https://docs.google.com/spreadsheets/d/1SX6NBoVAgQJ6U1MVXOaj8PK2l7WJ3RER9xtqwdhxkhw/edit?usp=sharing"",""ระยอง!J291"")"),0.0)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IFERROR(__xludf.DUMMYFUNCTION("IMPORTRANGE(""https://docs.google.com/spreadsheets/d/1SX6NBoVAgQJ6U1MVXOaj8PK2l7WJ3RER9xtqwdhxkhw/edit?usp=sharing"",""ระยอง!I292"")"),200.0)</f>
        <v>200</v>
      </c>
      <c r="J397" s="232">
        <f>IFERROR(__xludf.DUMMYFUNCTION("IMPORTRANGE(""https://docs.google.com/spreadsheets/d/1SX6NBoVAgQJ6U1MVXOaj8PK2l7WJ3RER9xtqwdhxkhw/edit?usp=sharing"",""ระยอง!J292"")"),0.0)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IFERROR(__xludf.DUMMYFUNCTION("IMPORTRANGE(""https://docs.google.com/spreadsheets/d/1SX6NBoVAgQJ6U1MVXOaj8PK2l7WJ3RER9xtqwdhxkhw/edit?usp=sharing"",""ระยอง!I293"")"),20.0)</f>
        <v>20</v>
      </c>
      <c r="J398" s="232">
        <f>IFERROR(__xludf.DUMMYFUNCTION("IMPORTRANGE(""https://docs.google.com/spreadsheets/d/1SX6NBoVAgQJ6U1MVXOaj8PK2l7WJ3RER9xtqwdhxkhw/edit?usp=sharing"",""ระยอง!J293"")"),0.0)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IFERROR(__xludf.DUMMYFUNCTION("IMPORTRANGE(""https://docs.google.com/spreadsheets/d/1SX6NBoVAgQJ6U1MVXOaj8PK2l7WJ3RER9xtqwdhxkhw/edit?usp=sharing"",""ระยอง!J294"")"),0.0)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IFERROR(__xludf.DUMMYFUNCTION("IMPORTRANGE(""https://docs.google.com/spreadsheets/d/1SX6NBoVAgQJ6U1MVXOaj8PK2l7WJ3RER9xtqwdhxkhw/edit?usp=sharing"",""ระยอง!J295"")"),0.0)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IFERROR(__xludf.DUMMYFUNCTION("IMPORTRANGE(""https://docs.google.com/spreadsheets/d/1SX6NBoVAgQJ6U1MVXOaj8PK2l7WJ3RER9xtqwdhxkhw/edit?usp=sharing"",""ระยอง!I296"")"),135.0)</f>
        <v>135</v>
      </c>
      <c r="J401" s="404">
        <f>IFERROR(__xludf.DUMMYFUNCTION("IMPORTRANGE(""https://docs.google.com/spreadsheets/d/1SX6NBoVAgQJ6U1MVXOaj8PK2l7WJ3RER9xtqwdhxkhw/edit?usp=sharing"",""ระยอง!J296"")"),0.0)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IFERROR(__xludf.DUMMYFUNCTION("IMPORTRANGE(""https://docs.google.com/spreadsheets/d/1SX6NBoVAgQJ6U1MVXOaj8PK2l7WJ3RER9xtqwdhxkhw/edit?usp=sharing"",""ระยอง!L296"")"),156040.0)</f>
        <v>156040</v>
      </c>
      <c r="M401" s="406"/>
      <c r="N401" s="406">
        <f>IFERROR(__xludf.DUMMYFUNCTION("IMPORTRANGE(""https://docs.google.com/spreadsheets/d/1SX6NBoVAgQJ6U1MVXOaj8PK2l7WJ3RER9xtqwdhxkhw/edit?usp=sharing"",""ระยอง!M296"")"),0.0)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IFERROR(__xludf.DUMMYFUNCTION("IMPORTRANGE(""https://docs.google.com/spreadsheets/d/1SX6NBoVAgQJ6U1MVXOaj8PK2l7WJ3RER9xtqwdhxkhw/edit?usp=sharing"",""ระยอง!I297"")"),45.0)</f>
        <v>45</v>
      </c>
      <c r="J402" s="404">
        <f>IFERROR(__xludf.DUMMYFUNCTION("IMPORTRANGE(""https://docs.google.com/spreadsheets/d/1SX6NBoVAgQJ6U1MVXOaj8PK2l7WJ3RER9xtqwdhxkhw/edit?usp=sharing"",""ระยอง!J297"")"),0.0)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IFERROR(__xludf.DUMMYFUNCTION("IMPORTRANGE(""https://docs.google.com/spreadsheets/d/1SX6NBoVAgQJ6U1MVXOaj8PK2l7WJ3RER9xtqwdhxkhw/edit?usp=sharing"",""ระยอง!L298"")"),0.0)</f>
        <v>0</v>
      </c>
      <c r="M403" s="197"/>
      <c r="N403" s="203">
        <f>IFERROR(__xludf.DUMMYFUNCTION("IMPORTRANGE(""https://docs.google.com/spreadsheets/d/1SX6NBoVAgQJ6U1MVXOaj8PK2l7WJ3RER9xtqwdhxkhw/edit?usp=sharing"",""ระยอง!M298"")"),0.0)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IFERROR(__xludf.DUMMYFUNCTION("IMPORTRANGE(""https://docs.google.com/spreadsheets/d/1SX6NBoVAgQJ6U1MVXOaj8PK2l7WJ3RER9xtqwdhxkhw/edit?usp=sharing"",""ระยอง!L299"")"),156040.0)</f>
        <v>156040</v>
      </c>
      <c r="M404" s="198"/>
      <c r="N404" s="203">
        <f>IFERROR(__xludf.DUMMYFUNCTION("IMPORTRANGE(""https://docs.google.com/spreadsheets/d/1SX6NBoVAgQJ6U1MVXOaj8PK2l7WJ3RER9xtqwdhxkhw/edit?usp=sharing"",""ระยอง!M299"")"),0.0)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IFERROR(__xludf.DUMMYFUNCTION("IMPORTRANGE(""https://docs.google.com/spreadsheets/d/1SX6NBoVAgQJ6U1MVXOaj8PK2l7WJ3RER9xtqwdhxkhw/edit?usp=sharing"",""ระยอง!L300"")"),0.0)</f>
        <v>0</v>
      </c>
      <c r="M405" s="203"/>
      <c r="N405" s="203">
        <f>IFERROR(__xludf.DUMMYFUNCTION("IMPORTRANGE(""https://docs.google.com/spreadsheets/d/1SX6NBoVAgQJ6U1MVXOaj8PK2l7WJ3RER9xtqwdhxkhw/edit?usp=sharing"",""ระยอง!M300"")"),0.0)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IFERROR(__xludf.DUMMYFUNCTION("IMPORTRANGE(""https://docs.google.com/spreadsheets/d/1SX6NBoVAgQJ6U1MVXOaj8PK2l7WJ3RER9xtqwdhxkhw/edit?usp=sharing"",""ระยอง!L301"")"),156040.0)</f>
        <v>156040</v>
      </c>
      <c r="M406" s="203"/>
      <c r="N406" s="203">
        <f>IFERROR(__xludf.DUMMYFUNCTION("IMPORTRANGE(""https://docs.google.com/spreadsheets/d/1SX6NBoVAgQJ6U1MVXOaj8PK2l7WJ3RER9xtqwdhxkhw/edit?usp=sharing"",""ระยอง!M301"")"),0.0)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IFERROR(__xludf.DUMMYFUNCTION("IMPORTRANGE(""https://docs.google.com/spreadsheets/d/1SX6NBoVAgQJ6U1MVXOaj8PK2l7WJ3RER9xtqwdhxkhw/edit?usp=sharing"",""ระยอง!M302"")"),0.0)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IFERROR(__xludf.DUMMYFUNCTION("IMPORTRANGE(""https://docs.google.com/spreadsheets/d/1SX6NBoVAgQJ6U1MVXOaj8PK2l7WJ3RER9xtqwdhxkhw/edit?usp=sharing"",""ระยอง!M303"")"),0.0)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IFERROR(__xludf.DUMMYFUNCTION("IMPORTRANGE(""https://docs.google.com/spreadsheets/d/1SX6NBoVAgQJ6U1MVXOaj8PK2l7WJ3RER9xtqwdhxkhw/edit?usp=sharing"",""ระยอง!M304"")"),0.0)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IFERROR(__xludf.DUMMYFUNCTION("IMPORTRANGE(""https://docs.google.com/spreadsheets/d/1SX6NBoVAgQJ6U1MVXOaj8PK2l7WJ3RER9xtqwdhxkhw/edit?usp=sharing"",""ระยอง!M305"")"),0.0)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IFERROR(__xludf.DUMMYFUNCTION("IMPORTRANGE(""https://docs.google.com/spreadsheets/d/1SX6NBoVAgQJ6U1MVXOaj8PK2l7WJ3RER9xtqwdhxkhw/edit?usp=sharing"",""ระยอง!J307"")"),0.0)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IFERROR(__xludf.DUMMYFUNCTION("IMPORTRANGE(""https://docs.google.com/spreadsheets/d/1SX6NBoVAgQJ6U1MVXOaj8PK2l7WJ3RER9xtqwdhxkhw/edit?usp=sharing"",""ระยอง!J308"")"),1.0)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IFERROR(__xludf.DUMMYFUNCTION("IMPORTRANGE(""https://docs.google.com/spreadsheets/d/1SX6NBoVAgQJ6U1MVXOaj8PK2l7WJ3RER9xtqwdhxkhw/edit?usp=sharing"",""ระยอง!J309"")"),1.0)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IFERROR(__xludf.DUMMYFUNCTION("IMPORTRANGE(""https://docs.google.com/spreadsheets/d/1SX6NBoVAgQJ6U1MVXOaj8PK2l7WJ3RER9xtqwdhxkhw/edit?usp=sharing"",""ระยอง!J310"")"),0.0)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IFERROR(__xludf.DUMMYFUNCTION("IMPORTRANGE(""https://docs.google.com/spreadsheets/d/1SX6NBoVAgQJ6U1MVXOaj8PK2l7WJ3RER9xtqwdhxkhw/edit?usp=sharing"",""ระยอง!I311"")"),45.0)</f>
        <v>45</v>
      </c>
      <c r="J416" s="235">
        <f>IFERROR(__xludf.DUMMYFUNCTION("IMPORTRANGE(""https://docs.google.com/spreadsheets/d/1SX6NBoVAgQJ6U1MVXOaj8PK2l7WJ3RER9xtqwdhxkhw/edit?usp=sharing"",""ระยอง!J311"")"),0.0)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IFERROR(__xludf.DUMMYFUNCTION("IMPORTRANGE(""https://docs.google.com/spreadsheets/d/1SX6NBoVAgQJ6U1MVXOaj8PK2l7WJ3RER9xtqwdhxkhw/edit?usp=sharing"",""ระยอง!I312"")"),15.0)</f>
        <v>15</v>
      </c>
      <c r="J417" s="425">
        <f>IFERROR(__xludf.DUMMYFUNCTION("IMPORTRANGE(""https://docs.google.com/spreadsheets/d/1SX6NBoVAgQJ6U1MVXOaj8PK2l7WJ3RER9xtqwdhxkhw/edit?usp=sharing"",""ระยอง!J312"")"),0.0)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IFERROR(__xludf.DUMMYFUNCTION("IMPORTRANGE(""https://docs.google.com/spreadsheets/d/1SX6NBoVAgQJ6U1MVXOaj8PK2l7WJ3RER9xtqwdhxkhw/edit?usp=sharing"",""ระยอง!I313"")"),45.0)</f>
        <v>45</v>
      </c>
      <c r="J418" s="426">
        <f>IFERROR(__xludf.DUMMYFUNCTION("IMPORTRANGE(""https://docs.google.com/spreadsheets/d/1SX6NBoVAgQJ6U1MVXOaj8PK2l7WJ3RER9xtqwdhxkhw/edit?usp=sharing"",""ระยอง!J313"")"),0.0)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IFERROR(__xludf.DUMMYFUNCTION("IMPORTRANGE(""https://docs.google.com/spreadsheets/d/1SX6NBoVAgQJ6U1MVXOaj8PK2l7WJ3RER9xtqwdhxkhw/edit?usp=sharing"",""ระยอง!I314"")"),15.0)</f>
        <v>15</v>
      </c>
      <c r="J419" s="427">
        <f>IFERROR(__xludf.DUMMYFUNCTION("IMPORTRANGE(""https://docs.google.com/spreadsheets/d/1SX6NBoVAgQJ6U1MVXOaj8PK2l7WJ3RER9xtqwdhxkhw/edit?usp=sharing"",""ระยอง!J314"")"),0.0)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IFERROR(__xludf.DUMMYFUNCTION("IMPORTRANGE(""https://docs.google.com/spreadsheets/d/1SX6NBoVAgQJ6U1MVXOaj8PK2l7WJ3RER9xtqwdhxkhw/edit?usp=sharing"",""ระยอง!I315"")"),15.0)</f>
        <v>15</v>
      </c>
      <c r="J420" s="427">
        <f>IFERROR(__xludf.DUMMYFUNCTION("IMPORTRANGE(""https://docs.google.com/spreadsheets/d/1SX6NBoVAgQJ6U1MVXOaj8PK2l7WJ3RER9xtqwdhxkhw/edit?usp=sharing"",""ระยอง!J315"")"),0.0)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IFERROR(__xludf.DUMMYFUNCTION("IMPORTRANGE(""https://docs.google.com/spreadsheets/d/1SX6NBoVAgQJ6U1MVXOaj8PK2l7WJ3RER9xtqwdhxkhw/edit?usp=sharing"",""ระยอง!I316"")"),16.0)</f>
        <v>16</v>
      </c>
      <c r="J421" s="425">
        <f>IFERROR(__xludf.DUMMYFUNCTION("IMPORTRANGE(""https://docs.google.com/spreadsheets/d/1SX6NBoVAgQJ6U1MVXOaj8PK2l7WJ3RER9xtqwdhxkhw/edit?usp=sharing"",""ระยอง!J316"")"),0.0)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IFERROR(__xludf.DUMMYFUNCTION("IMPORTRANGE(""https://docs.google.com/spreadsheets/d/1SX6NBoVAgQJ6U1MVXOaj8PK2l7WJ3RER9xtqwdhxkhw/edit?usp=sharing"",""ระยอง!I317"")"),48.0)</f>
        <v>48</v>
      </c>
      <c r="J422" s="426">
        <f>IFERROR(__xludf.DUMMYFUNCTION("IMPORTRANGE(""https://docs.google.com/spreadsheets/d/1SX6NBoVAgQJ6U1MVXOaj8PK2l7WJ3RER9xtqwdhxkhw/edit?usp=sharing"",""ระยอง!J317"")"),0.0)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IFERROR(__xludf.DUMMYFUNCTION("IMPORTRANGE(""https://docs.google.com/spreadsheets/d/1SX6NBoVAgQJ6U1MVXOaj8PK2l7WJ3RER9xtqwdhxkhw/edit?usp=sharing"",""ระยอง!I318"")"),16.0)</f>
        <v>16</v>
      </c>
      <c r="J423" s="427">
        <f>IFERROR(__xludf.DUMMYFUNCTION("IMPORTRANGE(""https://docs.google.com/spreadsheets/d/1SX6NBoVAgQJ6U1MVXOaj8PK2l7WJ3RER9xtqwdhxkhw/edit?usp=sharing"",""ระยอง!J318"")"),0.0)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IFERROR(__xludf.DUMMYFUNCTION("IMPORTRANGE(""https://docs.google.com/spreadsheets/d/1SX6NBoVAgQJ6U1MVXOaj8PK2l7WJ3RER9xtqwdhxkhw/edit?usp=sharing"",""ระยอง!I319"")"),16.0)</f>
        <v>16</v>
      </c>
      <c r="J424" s="427">
        <f>IFERROR(__xludf.DUMMYFUNCTION("IMPORTRANGE(""https://docs.google.com/spreadsheets/d/1SX6NBoVAgQJ6U1MVXOaj8PK2l7WJ3RER9xtqwdhxkhw/edit?usp=sharing"",""ระยอง!J319"")"),0.0)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IFERROR(__xludf.DUMMYFUNCTION("IMPORTRANGE(""https://docs.google.com/spreadsheets/d/1SX6NBoVAgQJ6U1MVXOaj8PK2l7WJ3RER9xtqwdhxkhw/edit?usp=sharing"",""ระยอง!I320"")"),16.0)</f>
        <v>16</v>
      </c>
      <c r="J425" s="427">
        <f>IFERROR(__xludf.DUMMYFUNCTION("IMPORTRANGE(""https://docs.google.com/spreadsheets/d/1SX6NBoVAgQJ6U1MVXOaj8PK2l7WJ3RER9xtqwdhxkhw/edit?usp=sharing"",""ระยอง!J320"")"),0.0)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IFERROR(__xludf.DUMMYFUNCTION("IMPORTRANGE(""https://docs.google.com/spreadsheets/d/1SX6NBoVAgQJ6U1MVXOaj8PK2l7WJ3RER9xtqwdhxkhw/edit?usp=sharing"",""ระยอง!I321"")"),14.0)</f>
        <v>14</v>
      </c>
      <c r="J426" s="425">
        <f>IFERROR(__xludf.DUMMYFUNCTION("IMPORTRANGE(""https://docs.google.com/spreadsheets/d/1SX6NBoVAgQJ6U1MVXOaj8PK2l7WJ3RER9xtqwdhxkhw/edit?usp=sharing"",""ระยอง!J321"")"),0.0)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IFERROR(__xludf.DUMMYFUNCTION("IMPORTRANGE(""https://docs.google.com/spreadsheets/d/1SX6NBoVAgQJ6U1MVXOaj8PK2l7WJ3RER9xtqwdhxkhw/edit?usp=sharing"",""ระยอง!I322"")"),42.0)</f>
        <v>42</v>
      </c>
      <c r="J427" s="426">
        <f>IFERROR(__xludf.DUMMYFUNCTION("IMPORTRANGE(""https://docs.google.com/spreadsheets/d/1SX6NBoVAgQJ6U1MVXOaj8PK2l7WJ3RER9xtqwdhxkhw/edit?usp=sharing"",""ระยอง!J322"")"),0.0)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IFERROR(__xludf.DUMMYFUNCTION("IMPORTRANGE(""https://docs.google.com/spreadsheets/d/1SX6NBoVAgQJ6U1MVXOaj8PK2l7WJ3RER9xtqwdhxkhw/edit?usp=sharing"",""ระยอง!I323"")"),14.0)</f>
        <v>14</v>
      </c>
      <c r="J428" s="427">
        <f>IFERROR(__xludf.DUMMYFUNCTION("IMPORTRANGE(""https://docs.google.com/spreadsheets/d/1SX6NBoVAgQJ6U1MVXOaj8PK2l7WJ3RER9xtqwdhxkhw/edit?usp=sharing"",""ระยอง!J323"")"),0.0)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IFERROR(__xludf.DUMMYFUNCTION("IMPORTRANGE(""https://docs.google.com/spreadsheets/d/1SX6NBoVAgQJ6U1MVXOaj8PK2l7WJ3RER9xtqwdhxkhw/edit?usp=sharing"",""ระยอง!I324"")"),14.0)</f>
        <v>14</v>
      </c>
      <c r="J429" s="427">
        <f>IFERROR(__xludf.DUMMYFUNCTION("IMPORTRANGE(""https://docs.google.com/spreadsheets/d/1SX6NBoVAgQJ6U1MVXOaj8PK2l7WJ3RER9xtqwdhxkhw/edit?usp=sharing"",""ระยอง!J324"")"),0.0)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IFERROR(__xludf.DUMMYFUNCTION("IMPORTRANGE(""https://docs.google.com/spreadsheets/d/1SX6NBoVAgQJ6U1MVXOaj8PK2l7WJ3RER9xtqwdhxkhw/edit?usp=sharing"",""ระยอง!I325"")"),31.0)</f>
        <v>31</v>
      </c>
      <c r="J430" s="425">
        <f>IFERROR(__xludf.DUMMYFUNCTION("IMPORTRANGE(""https://docs.google.com/spreadsheets/d/1SX6NBoVAgQJ6U1MVXOaj8PK2l7WJ3RER9xtqwdhxkhw/edit?usp=sharing"",""ระยอง!J325"")"),0.0)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IFERROR(__xludf.DUMMYFUNCTION("IMPORTRANGE(""https://docs.google.com/spreadsheets/d/1SX6NBoVAgQJ6U1MVXOaj8PK2l7WJ3RER9xtqwdhxkhw/edit?usp=sharing"",""ระยอง!I326"")"),15.0)</f>
        <v>15</v>
      </c>
      <c r="J431" s="427">
        <f>IFERROR(__xludf.DUMMYFUNCTION("IMPORTRANGE(""https://docs.google.com/spreadsheets/d/1SX6NBoVAgQJ6U1MVXOaj8PK2l7WJ3RER9xtqwdhxkhw/edit?usp=sharing"",""ระยอง!J326"")"),0.0)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IFERROR(__xludf.DUMMYFUNCTION("IMPORTRANGE(""https://docs.google.com/spreadsheets/d/1SX6NBoVAgQJ6U1MVXOaj8PK2l7WJ3RER9xtqwdhxkhw/edit?usp=sharing"",""ระยอง!I327"")"),16.0)</f>
        <v>16</v>
      </c>
      <c r="J432" s="427">
        <f>IFERROR(__xludf.DUMMYFUNCTION("IMPORTRANGE(""https://docs.google.com/spreadsheets/d/1SX6NBoVAgQJ6U1MVXOaj8PK2l7WJ3RER9xtqwdhxkhw/edit?usp=sharing"",""ระยอง!J327"")"),0.0)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IFERROR(__xludf.DUMMYFUNCTION("IMPORTRANGE(""https://docs.google.com/spreadsheets/d/1SX6NBoVAgQJ6U1MVXOaj8PK2l7WJ3RER9xtqwdhxkhw/edit?usp=sharing"",""ระยอง!J328"")"),0.0)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IFERROR(__xludf.DUMMYFUNCTION("IMPORTRANGE(""https://docs.google.com/spreadsheets/d/1SX6NBoVAgQJ6U1MVXOaj8PK2l7WJ3RER9xtqwdhxkhw/edit?usp=sharing"",""ระยอง!J329"")"),0.0)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IFERROR(__xludf.DUMMYFUNCTION("IMPORTRANGE(""https://docs.google.com/spreadsheets/d/1SX6NBoVAgQJ6U1MVXOaj8PK2l7WJ3RER9xtqwdhxkhw/edit?usp=sharing"",""ระยอง!I330"")"),20.0)</f>
        <v>20</v>
      </c>
      <c r="J435" s="443">
        <f>IFERROR(__xludf.DUMMYFUNCTION("IMPORTRANGE(""https://docs.google.com/spreadsheets/d/1SX6NBoVAgQJ6U1MVXOaj8PK2l7WJ3RER9xtqwdhxkhw/edit?usp=sharing"",""ระยอง!J330"")"),0.0)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IFERROR(__xludf.DUMMYFUNCTION("IMPORTRANGE(""https://docs.google.com/spreadsheets/d/1SX6NBoVAgQJ6U1MVXOaj8PK2l7WJ3RER9xtqwdhxkhw/edit?usp=sharing"",""ระยอง!L330"")"),95000.0)</f>
        <v>95000</v>
      </c>
      <c r="M435" s="445"/>
      <c r="N435" s="445">
        <f>IFERROR(__xludf.DUMMYFUNCTION("IMPORTRANGE(""https://docs.google.com/spreadsheets/d/1SX6NBoVAgQJ6U1MVXOaj8PK2l7WJ3RER9xtqwdhxkhw/edit?usp=sharing"",""ระยอง!M330"")"),0.0)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IFERROR(__xludf.DUMMYFUNCTION("IMPORTRANGE(""https://docs.google.com/spreadsheets/d/1SX6NBoVAgQJ6U1MVXOaj8PK2l7WJ3RER9xtqwdhxkhw/edit?usp=sharing"",""ระยอง!L331"")"),0.0)</f>
        <v>0</v>
      </c>
      <c r="M436" s="197"/>
      <c r="N436" s="203">
        <f>IFERROR(__xludf.DUMMYFUNCTION("IMPORTRANGE(""https://docs.google.com/spreadsheets/d/1SX6NBoVAgQJ6U1MVXOaj8PK2l7WJ3RER9xtqwdhxkhw/edit?usp=sharing"",""ระยอง!M331"")"),0.0)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IFERROR(__xludf.DUMMYFUNCTION("IMPORTRANGE(""https://docs.google.com/spreadsheets/d/1SX6NBoVAgQJ6U1MVXOaj8PK2l7WJ3RER9xtqwdhxkhw/edit?usp=sharing"",""ระยอง!L332"")"),95000.0)</f>
        <v>95000</v>
      </c>
      <c r="M437" s="198"/>
      <c r="N437" s="203">
        <f>IFERROR(__xludf.DUMMYFUNCTION("IMPORTRANGE(""https://docs.google.com/spreadsheets/d/1SX6NBoVAgQJ6U1MVXOaj8PK2l7WJ3RER9xtqwdhxkhw/edit?usp=sharing"",""ระยอง!M332"")"),0.0)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IFERROR(__xludf.DUMMYFUNCTION("IMPORTRANGE(""https://docs.google.com/spreadsheets/d/1SX6NBoVAgQJ6U1MVXOaj8PK2l7WJ3RER9xtqwdhxkhw/edit?usp=sharing"",""ระยอง!L333"")"),0.0)</f>
        <v>0</v>
      </c>
      <c r="M438" s="203"/>
      <c r="N438" s="203">
        <f>IFERROR(__xludf.DUMMYFUNCTION("IMPORTRANGE(""https://docs.google.com/spreadsheets/d/1SX6NBoVAgQJ6U1MVXOaj8PK2l7WJ3RER9xtqwdhxkhw/edit?usp=sharing"",""ระยอง!M333"")"),0.0)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IFERROR(__xludf.DUMMYFUNCTION("IMPORTRANGE(""https://docs.google.com/spreadsheets/d/1SX6NBoVAgQJ6U1MVXOaj8PK2l7WJ3RER9xtqwdhxkhw/edit?usp=sharing"",""ระยอง!L334"")"),95000.0)</f>
        <v>95000</v>
      </c>
      <c r="M439" s="203"/>
      <c r="N439" s="203">
        <f>IFERROR(__xludf.DUMMYFUNCTION("IMPORTRANGE(""https://docs.google.com/spreadsheets/d/1SX6NBoVAgQJ6U1MVXOaj8PK2l7WJ3RER9xtqwdhxkhw/edit?usp=sharing"",""ระยอง!M334"")"),0.0)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IFERROR(__xludf.DUMMYFUNCTION("IMPORTRANGE(""https://docs.google.com/spreadsheets/d/1SX6NBoVAgQJ6U1MVXOaj8PK2l7WJ3RER9xtqwdhxkhw/edit?usp=sharing"",""ระยอง!M335"")"),0.0)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IFERROR(__xludf.DUMMYFUNCTION("IMPORTRANGE(""https://docs.google.com/spreadsheets/d/1SX6NBoVAgQJ6U1MVXOaj8PK2l7WJ3RER9xtqwdhxkhw/edit?usp=sharing"",""ระยอง!M336"")"),0.0)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IFERROR(__xludf.DUMMYFUNCTION("IMPORTRANGE(""https://docs.google.com/spreadsheets/d/1SX6NBoVAgQJ6U1MVXOaj8PK2l7WJ3RER9xtqwdhxkhw/edit?usp=sharing"",""ระยอง!M337"")"),0.0)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IFERROR(__xludf.DUMMYFUNCTION("IMPORTRANGE(""https://docs.google.com/spreadsheets/d/1SX6NBoVAgQJ6U1MVXOaj8PK2l7WJ3RER9xtqwdhxkhw/edit?usp=sharing"",""ระยอง!M338"")"),0.0)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IFERROR(__xludf.DUMMYFUNCTION("IMPORTRANGE(""https://docs.google.com/spreadsheets/d/1SX6NBoVAgQJ6U1MVXOaj8PK2l7WJ3RER9xtqwdhxkhw/edit?usp=sharing"",""ระยอง!J340"")"),0.0)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IFERROR(__xludf.DUMMYFUNCTION("IMPORTRANGE(""https://docs.google.com/spreadsheets/d/1SX6NBoVAgQJ6U1MVXOaj8PK2l7WJ3RER9xtqwdhxkhw/edit?usp=sharing"",""ระยอง!J341"")"),1.0)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IFERROR(__xludf.DUMMYFUNCTION("IMPORTRANGE(""https://docs.google.com/spreadsheets/d/1SX6NBoVAgQJ6U1MVXOaj8PK2l7WJ3RER9xtqwdhxkhw/edit?usp=sharing"",""ระยอง!J342"")"),1.0)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IFERROR(__xludf.DUMMYFUNCTION("IMPORTRANGE(""https://docs.google.com/spreadsheets/d/1SX6NBoVAgQJ6U1MVXOaj8PK2l7WJ3RER9xtqwdhxkhw/edit?usp=sharing"",""ระยอง!J343"")"),0.0)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IFERROR(__xludf.DUMMYFUNCTION("IMPORTRANGE(""https://docs.google.com/spreadsheets/d/1SX6NBoVAgQJ6U1MVXOaj8PK2l7WJ3RER9xtqwdhxkhw/edit?usp=sharing"",""ระยอง!I344"")"),20.0)</f>
        <v>20</v>
      </c>
      <c r="J449" s="235">
        <f>IFERROR(__xludf.DUMMYFUNCTION("IMPORTRANGE(""https://docs.google.com/spreadsheets/d/1SX6NBoVAgQJ6U1MVXOaj8PK2l7WJ3RER9xtqwdhxkhw/edit?usp=sharing"",""ระยอง!J344"")"),0.0)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IFERROR(__xludf.DUMMYFUNCTION("IMPORTRANGE(""https://docs.google.com/spreadsheets/d/1SX6NBoVAgQJ6U1MVXOaj8PK2l7WJ3RER9xtqwdhxkhw/edit?usp=sharing"",""ระยอง!I345"")"),20.0)</f>
        <v>20</v>
      </c>
      <c r="J450" s="223">
        <f>IFERROR(__xludf.DUMMYFUNCTION("IMPORTRANGE(""https://docs.google.com/spreadsheets/d/1SX6NBoVAgQJ6U1MVXOaj8PK2l7WJ3RER9xtqwdhxkhw/edit?usp=sharing"",""ระยอง!J345"")"),0.0)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IFERROR(__xludf.DUMMYFUNCTION("IMPORTRANGE(""https://docs.google.com/spreadsheets/d/1SX6NBoVAgQJ6U1MVXOaj8PK2l7WJ3RER9xtqwdhxkhw/edit?usp=sharing"",""ระยอง!I346"")"),0.0)</f>
        <v>0</v>
      </c>
      <c r="J451" s="222">
        <f>IFERROR(__xludf.DUMMYFUNCTION("IMPORTRANGE(""https://docs.google.com/spreadsheets/d/1SX6NBoVAgQJ6U1MVXOaj8PK2l7WJ3RER9xtqwdhxkhw/edit?usp=sharing"",""ระยอง!J346"")"),0.0)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IFERROR(__xludf.DUMMYFUNCTION("IMPORTRANGE(""https://docs.google.com/spreadsheets/d/1SX6NBoVAgQJ6U1MVXOaj8PK2l7WJ3RER9xtqwdhxkhw/edit?usp=sharing"",""ระยอง!I347"")"),0.0)</f>
        <v>0</v>
      </c>
      <c r="J452" s="222">
        <f>IFERROR(__xludf.DUMMYFUNCTION("IMPORTRANGE(""https://docs.google.com/spreadsheets/d/1SX6NBoVAgQJ6U1MVXOaj8PK2l7WJ3RER9xtqwdhxkhw/edit?usp=sharing"",""ระยอง!J347"")"),0.0)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IFERROR(__xludf.DUMMYFUNCTION("IMPORTRANGE(""https://docs.google.com/spreadsheets/d/1SX6NBoVAgQJ6U1MVXOaj8PK2l7WJ3RER9xtqwdhxkhw/edit?usp=sharing"",""ระยอง!J348"")"),0.0)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IFERROR(__xludf.DUMMYFUNCTION("IMPORTRANGE(""https://docs.google.com/spreadsheets/d/1SX6NBoVAgQJ6U1MVXOaj8PK2l7WJ3RER9xtqwdhxkhw/edit?usp=sharing"",""ระยอง!J349"")"),0.0)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IFERROR(__xludf.DUMMYFUNCTION("IMPORTRANGE(""https://docs.google.com/spreadsheets/d/1SX6NBoVAgQJ6U1MVXOaj8PK2l7WJ3RER9xtqwdhxkhw/edit?usp=sharing"",""ระยอง!I350"")"),7112.0)</f>
        <v>7112</v>
      </c>
      <c r="J455" s="404">
        <f>IFERROR(__xludf.DUMMYFUNCTION("IMPORTRANGE(""https://docs.google.com/spreadsheets/d/1SX6NBoVAgQJ6U1MVXOaj8PK2l7WJ3RER9xtqwdhxkhw/edit?usp=sharing"",""ระยอง!J350"")"),0.0)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IFERROR(__xludf.DUMMYFUNCTION("IMPORTRANGE(""https://docs.google.com/spreadsheets/d/1SX6NBoVAgQJ6U1MVXOaj8PK2l7WJ3RER9xtqwdhxkhw/edit?usp=sharing"",""ระยอง!L350"")"),94119.0)</f>
        <v>94119</v>
      </c>
      <c r="M455" s="406"/>
      <c r="N455" s="406">
        <f>IFERROR(__xludf.DUMMYFUNCTION("IMPORTRANGE(""https://docs.google.com/spreadsheets/d/1SX6NBoVAgQJ6U1MVXOaj8PK2l7WJ3RER9xtqwdhxkhw/edit?usp=sharing"",""ระยอง!M350"")"),1260.0)</f>
        <v>1260</v>
      </c>
      <c r="O455" s="406">
        <f t="shared" ref="O455:O459" si="117">+IF(L455&gt;0,N455*100/L455,0)</f>
        <v>1.338730756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IFERROR(__xludf.DUMMYFUNCTION("IMPORTRANGE(""https://docs.google.com/spreadsheets/d/1SX6NBoVAgQJ6U1MVXOaj8PK2l7WJ3RER9xtqwdhxkhw/edit?usp=sharing"",""ระยอง!L351"")"),0.0)</f>
        <v>0</v>
      </c>
      <c r="M456" s="197"/>
      <c r="N456" s="203">
        <f>IFERROR(__xludf.DUMMYFUNCTION("IMPORTRANGE(""https://docs.google.com/spreadsheets/d/1SX6NBoVAgQJ6U1MVXOaj8PK2l7WJ3RER9xtqwdhxkhw/edit?usp=sharing"",""ระยอง!M351"")"),0.0)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IFERROR(__xludf.DUMMYFUNCTION("IMPORTRANGE(""https://docs.google.com/spreadsheets/d/1SX6NBoVAgQJ6U1MVXOaj8PK2l7WJ3RER9xtqwdhxkhw/edit?usp=sharing"",""ระยอง!L352"")"),94119.0)</f>
        <v>94119</v>
      </c>
      <c r="M457" s="198"/>
      <c r="N457" s="203">
        <f>IFERROR(__xludf.DUMMYFUNCTION("IMPORTRANGE(""https://docs.google.com/spreadsheets/d/1SX6NBoVAgQJ6U1MVXOaj8PK2l7WJ3RER9xtqwdhxkhw/edit?usp=sharing"",""ระยอง!M352"")"),1260.0)</f>
        <v>1260</v>
      </c>
      <c r="O457" s="203">
        <f t="shared" si="117"/>
        <v>1.338730756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IFERROR(__xludf.DUMMYFUNCTION("IMPORTRANGE(""https://docs.google.com/spreadsheets/d/1SX6NBoVAgQJ6U1MVXOaj8PK2l7WJ3RER9xtqwdhxkhw/edit?usp=sharing"",""ระยอง!L353"")"),0.0)</f>
        <v>0</v>
      </c>
      <c r="M458" s="203"/>
      <c r="N458" s="203">
        <f>IFERROR(__xludf.DUMMYFUNCTION("IMPORTRANGE(""https://docs.google.com/spreadsheets/d/1SX6NBoVAgQJ6U1MVXOaj8PK2l7WJ3RER9xtqwdhxkhw/edit?usp=sharing"",""ระยอง!M353"")"),0.0)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IFERROR(__xludf.DUMMYFUNCTION("IMPORTRANGE(""https://docs.google.com/spreadsheets/d/1SX6NBoVAgQJ6U1MVXOaj8PK2l7WJ3RER9xtqwdhxkhw/edit?usp=sharing"",""ระยอง!L354"")"),94119.0)</f>
        <v>94119</v>
      </c>
      <c r="M459" s="203"/>
      <c r="N459" s="203">
        <f>IFERROR(__xludf.DUMMYFUNCTION("IMPORTRANGE(""https://docs.google.com/spreadsheets/d/1SX6NBoVAgQJ6U1MVXOaj8PK2l7WJ3RER9xtqwdhxkhw/edit?usp=sharing"",""ระยอง!M354"")"),1260.0)</f>
        <v>1260</v>
      </c>
      <c r="O459" s="203">
        <f t="shared" si="117"/>
        <v>1.338730756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IFERROR(__xludf.DUMMYFUNCTION("IMPORTRANGE(""https://docs.google.com/spreadsheets/d/1SX6NBoVAgQJ6U1MVXOaj8PK2l7WJ3RER9xtqwdhxkhw/edit?usp=sharing"",""ระยอง!M355"")"),0.0)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IFERROR(__xludf.DUMMYFUNCTION("IMPORTRANGE(""https://docs.google.com/spreadsheets/d/1SX6NBoVAgQJ6U1MVXOaj8PK2l7WJ3RER9xtqwdhxkhw/edit?usp=sharing"",""ระยอง!M356"")"),0.0)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IFERROR(__xludf.DUMMYFUNCTION("IMPORTRANGE(""https://docs.google.com/spreadsheets/d/1SX6NBoVAgQJ6U1MVXOaj8PK2l7WJ3RER9xtqwdhxkhw/edit?usp=sharing"",""ระยอง!M357"")"),1260.0)</f>
        <v>1260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IFERROR(__xludf.DUMMYFUNCTION("IMPORTRANGE(""https://docs.google.com/spreadsheets/d/1SX6NBoVAgQJ6U1MVXOaj8PK2l7WJ3RER9xtqwdhxkhw/edit?usp=sharing"",""ระยอง!M358"")"),0.0)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IFERROR(__xludf.DUMMYFUNCTION("IMPORTRANGE(""https://docs.google.com/spreadsheets/d/1SX6NBoVAgQJ6U1MVXOaj8PK2l7WJ3RER9xtqwdhxkhw/edit?usp=sharing"",""ระยอง!I359"")"),7112.0)</f>
        <v>7112</v>
      </c>
      <c r="J464" s="301">
        <f>IFERROR(__xludf.DUMMYFUNCTION("IMPORTRANGE(""https://docs.google.com/spreadsheets/d/1SX6NBoVAgQJ6U1MVXOaj8PK2l7WJ3RER9xtqwdhxkhw/edit?usp=sharing"",""ระยอง!J359"")"),0.0)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IFERROR(__xludf.DUMMYFUNCTION("IMPORTRANGE(""https://docs.google.com/spreadsheets/d/1SX6NBoVAgQJ6U1MVXOaj8PK2l7WJ3RER9xtqwdhxkhw/edit?usp=sharing"",""ระยอง!I360"")"),7112.0)</f>
        <v>7112</v>
      </c>
      <c r="J465" s="453">
        <f>IFERROR(__xludf.DUMMYFUNCTION("IMPORTRANGE(""https://docs.google.com/spreadsheets/d/1SX6NBoVAgQJ6U1MVXOaj8PK2l7WJ3RER9xtqwdhxkhw/edit?usp=sharing"",""ระยอง!J360"")"),2364.0)</f>
        <v>2364</v>
      </c>
      <c r="K465" s="236">
        <f t="shared" si="118"/>
        <v>33.23959505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IFERROR(__xludf.DUMMYFUNCTION("IMPORTRANGE(""https://docs.google.com/spreadsheets/d/1SX6NBoVAgQJ6U1MVXOaj8PK2l7WJ3RER9xtqwdhxkhw/edit?usp=sharing"",""ระยอง!I361"")"),645.0)</f>
        <v>645</v>
      </c>
      <c r="J466" s="453">
        <f>IFERROR(__xludf.DUMMYFUNCTION("IMPORTRANGE(""https://docs.google.com/spreadsheets/d/1SX6NBoVAgQJ6U1MVXOaj8PK2l7WJ3RER9xtqwdhxkhw/edit?usp=sharing"",""ระยอง!J361"")"),242.0)</f>
        <v>242</v>
      </c>
      <c r="K466" s="236">
        <f t="shared" si="118"/>
        <v>37.51937984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IFERROR(__xludf.DUMMYFUNCTION("IMPORTRANGE(""https://docs.google.com/spreadsheets/d/1SX6NBoVAgQJ6U1MVXOaj8PK2l7WJ3RER9xtqwdhxkhw/edit?usp=sharing"",""ระยอง!I362"")"),0.0)</f>
        <v>0</v>
      </c>
      <c r="J467" s="223">
        <f>IFERROR(__xludf.DUMMYFUNCTION("IMPORTRANGE(""https://docs.google.com/spreadsheets/d/1SX6NBoVAgQJ6U1MVXOaj8PK2l7WJ3RER9xtqwdhxkhw/edit?usp=sharing"",""ระยอง!J362"")"),1742.0)</f>
        <v>1742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IFERROR(__xludf.DUMMYFUNCTION("IMPORTRANGE(""https://docs.google.com/spreadsheets/d/1SX6NBoVAgQJ6U1MVXOaj8PK2l7WJ3RER9xtqwdhxkhw/edit?usp=sharing"",""ระยอง!I363"")"),0.0)</f>
        <v>0</v>
      </c>
      <c r="J468" s="223">
        <f>IFERROR(__xludf.DUMMYFUNCTION("IMPORTRANGE(""https://docs.google.com/spreadsheets/d/1SX6NBoVAgQJ6U1MVXOaj8PK2l7WJ3RER9xtqwdhxkhw/edit?usp=sharing"",""ระยอง!J363"")"),204.0)</f>
        <v>204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IFERROR(__xludf.DUMMYFUNCTION("IMPORTRANGE(""https://docs.google.com/spreadsheets/d/1SX6NBoVAgQJ6U1MVXOaj8PK2l7WJ3RER9xtqwdhxkhw/edit?usp=sharing"",""ระยอง!I364"")"),0.0)</f>
        <v>0</v>
      </c>
      <c r="J469" s="223">
        <f>IFERROR(__xludf.DUMMYFUNCTION("IMPORTRANGE(""https://docs.google.com/spreadsheets/d/1SX6NBoVAgQJ6U1MVXOaj8PK2l7WJ3RER9xtqwdhxkhw/edit?usp=sharing"",""ระยอง!J364"")"),563.0)</f>
        <v>563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IFERROR(__xludf.DUMMYFUNCTION("IMPORTRANGE(""https://docs.google.com/spreadsheets/d/1SX6NBoVAgQJ6U1MVXOaj8PK2l7WJ3RER9xtqwdhxkhw/edit?usp=sharing"",""ระยอง!I365"")"),0.0)</f>
        <v>0</v>
      </c>
      <c r="J470" s="223">
        <f>IFERROR(__xludf.DUMMYFUNCTION("IMPORTRANGE(""https://docs.google.com/spreadsheets/d/1SX6NBoVAgQJ6U1MVXOaj8PK2l7WJ3RER9xtqwdhxkhw/edit?usp=sharing"",""ระยอง!J365"")"),31.0)</f>
        <v>31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IFERROR(__xludf.DUMMYFUNCTION("IMPORTRANGE(""https://docs.google.com/spreadsheets/d/1SX6NBoVAgQJ6U1MVXOaj8PK2l7WJ3RER9xtqwdhxkhw/edit?usp=sharing"",""ระยอง!I366"")"),0.0)</f>
        <v>0</v>
      </c>
      <c r="J471" s="223">
        <f>IFERROR(__xludf.DUMMYFUNCTION("IMPORTRANGE(""https://docs.google.com/spreadsheets/d/1SX6NBoVAgQJ6U1MVXOaj8PK2l7WJ3RER9xtqwdhxkhw/edit?usp=sharing"",""ระยอง!J366"")"),59.0)</f>
        <v>59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IFERROR(__xludf.DUMMYFUNCTION("IMPORTRANGE(""https://docs.google.com/spreadsheets/d/1SX6NBoVAgQJ6U1MVXOaj8PK2l7WJ3RER9xtqwdhxkhw/edit?usp=sharing"",""ระยอง!I367"")"),0.0)</f>
        <v>0</v>
      </c>
      <c r="J472" s="223">
        <f>IFERROR(__xludf.DUMMYFUNCTION("IMPORTRANGE(""https://docs.google.com/spreadsheets/d/1SX6NBoVAgQJ6U1MVXOaj8PK2l7WJ3RER9xtqwdhxkhw/edit?usp=sharing"",""ระยอง!J367"")"),7.0)</f>
        <v>7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IFERROR(__xludf.DUMMYFUNCTION("IMPORTRANGE(""https://docs.google.com/spreadsheets/d/1SX6NBoVAgQJ6U1MVXOaj8PK2l7WJ3RER9xtqwdhxkhw/edit?usp=sharing"",""ระยอง!I368"")"),7112.0)</f>
        <v>7112</v>
      </c>
      <c r="J473" s="453">
        <f>IFERROR(__xludf.DUMMYFUNCTION("IMPORTRANGE(""https://docs.google.com/spreadsheets/d/1SX6NBoVAgQJ6U1MVXOaj8PK2l7WJ3RER9xtqwdhxkhw/edit?usp=sharing"",""ระยอง!J368"")"),0.0)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IFERROR(__xludf.DUMMYFUNCTION("IMPORTRANGE(""https://docs.google.com/spreadsheets/d/1SX6NBoVAgQJ6U1MVXOaj8PK2l7WJ3RER9xtqwdhxkhw/edit?usp=sharing"",""ระยอง!I369"")"),645.0)</f>
        <v>645</v>
      </c>
      <c r="J474" s="453">
        <f>IFERROR(__xludf.DUMMYFUNCTION("IMPORTRANGE(""https://docs.google.com/spreadsheets/d/1SX6NBoVAgQJ6U1MVXOaj8PK2l7WJ3RER9xtqwdhxkhw/edit?usp=sharing"",""ระยอง!J369"")"),0.0)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IFERROR(__xludf.DUMMYFUNCTION("IMPORTRANGE(""https://docs.google.com/spreadsheets/d/1SX6NBoVAgQJ6U1MVXOaj8PK2l7WJ3RER9xtqwdhxkhw/edit?usp=sharing"",""ระยอง!I370"")"),0.0)</f>
        <v>0</v>
      </c>
      <c r="J475" s="223">
        <f>IFERROR(__xludf.DUMMYFUNCTION("IMPORTRANGE(""https://docs.google.com/spreadsheets/d/1SX6NBoVAgQJ6U1MVXOaj8PK2l7WJ3RER9xtqwdhxkhw/edit?usp=sharing"",""ระยอง!J370"")"),0.0)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IFERROR(__xludf.DUMMYFUNCTION("IMPORTRANGE(""https://docs.google.com/spreadsheets/d/1SX6NBoVAgQJ6U1MVXOaj8PK2l7WJ3RER9xtqwdhxkhw/edit?usp=sharing"",""ระยอง!I371"")"),0.0)</f>
        <v>0</v>
      </c>
      <c r="J476" s="223">
        <f>IFERROR(__xludf.DUMMYFUNCTION("IMPORTRANGE(""https://docs.google.com/spreadsheets/d/1SX6NBoVAgQJ6U1MVXOaj8PK2l7WJ3RER9xtqwdhxkhw/edit?usp=sharing"",""ระยอง!J371"")"),0.0)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IFERROR(__xludf.DUMMYFUNCTION("IMPORTRANGE(""https://docs.google.com/spreadsheets/d/1SX6NBoVAgQJ6U1MVXOaj8PK2l7WJ3RER9xtqwdhxkhw/edit?usp=sharing"",""ระยอง!I372"")"),0.0)</f>
        <v>0</v>
      </c>
      <c r="J477" s="223">
        <f>IFERROR(__xludf.DUMMYFUNCTION("IMPORTRANGE(""https://docs.google.com/spreadsheets/d/1SX6NBoVAgQJ6U1MVXOaj8PK2l7WJ3RER9xtqwdhxkhw/edit?usp=sharing"",""ระยอง!J372"")"),0.0)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IFERROR(__xludf.DUMMYFUNCTION("IMPORTRANGE(""https://docs.google.com/spreadsheets/d/1SX6NBoVAgQJ6U1MVXOaj8PK2l7WJ3RER9xtqwdhxkhw/edit?usp=sharing"",""ระยอง!I373"")"),0.0)</f>
        <v>0</v>
      </c>
      <c r="J478" s="223">
        <f>IFERROR(__xludf.DUMMYFUNCTION("IMPORTRANGE(""https://docs.google.com/spreadsheets/d/1SX6NBoVAgQJ6U1MVXOaj8PK2l7WJ3RER9xtqwdhxkhw/edit?usp=sharing"",""ระยอง!J373"")"),0.0)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IFERROR(__xludf.DUMMYFUNCTION("IMPORTRANGE(""https://docs.google.com/spreadsheets/d/1SX6NBoVAgQJ6U1MVXOaj8PK2l7WJ3RER9xtqwdhxkhw/edit?usp=sharing"",""ระยอง!I374"")"),0.0)</f>
        <v>0</v>
      </c>
      <c r="J479" s="223">
        <f>IFERROR(__xludf.DUMMYFUNCTION("IMPORTRANGE(""https://docs.google.com/spreadsheets/d/1SX6NBoVAgQJ6U1MVXOaj8PK2l7WJ3RER9xtqwdhxkhw/edit?usp=sharing"",""ระยอง!J374"")"),0.0)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IFERROR(__xludf.DUMMYFUNCTION("IMPORTRANGE(""https://docs.google.com/spreadsheets/d/1SX6NBoVAgQJ6U1MVXOaj8PK2l7WJ3RER9xtqwdhxkhw/edit?usp=sharing"",""ระยอง!I375"")"),0.0)</f>
        <v>0</v>
      </c>
      <c r="J480" s="223">
        <f>IFERROR(__xludf.DUMMYFUNCTION("IMPORTRANGE(""https://docs.google.com/spreadsheets/d/1SX6NBoVAgQJ6U1MVXOaj8PK2l7WJ3RER9xtqwdhxkhw/edit?usp=sharing"",""ระยอง!J375"")"),0.0)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IFERROR(__xludf.DUMMYFUNCTION("IMPORTRANGE(""https://docs.google.com/spreadsheets/d/1SX6NBoVAgQJ6U1MVXOaj8PK2l7WJ3RER9xtqwdhxkhw/edit?usp=sharing"",""ระยอง!I376"")"),7112.0)</f>
        <v>7112</v>
      </c>
      <c r="J481" s="453">
        <f>IFERROR(__xludf.DUMMYFUNCTION("IMPORTRANGE(""https://docs.google.com/spreadsheets/d/1SX6NBoVAgQJ6U1MVXOaj8PK2l7WJ3RER9xtqwdhxkhw/edit?usp=sharing"",""ระยอง!J376"")"),0.0)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IFERROR(__xludf.DUMMYFUNCTION("IMPORTRANGE(""https://docs.google.com/spreadsheets/d/1SX6NBoVAgQJ6U1MVXOaj8PK2l7WJ3RER9xtqwdhxkhw/edit?usp=sharing"",""ระยอง!I377"")"),645.0)</f>
        <v>645</v>
      </c>
      <c r="J482" s="453">
        <f>IFERROR(__xludf.DUMMYFUNCTION("IMPORTRANGE(""https://docs.google.com/spreadsheets/d/1SX6NBoVAgQJ6U1MVXOaj8PK2l7WJ3RER9xtqwdhxkhw/edit?usp=sharing"",""ระยอง!J377"")"),0.0)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IFERROR(__xludf.DUMMYFUNCTION("IMPORTRANGE(""https://docs.google.com/spreadsheets/d/1SX6NBoVAgQJ6U1MVXOaj8PK2l7WJ3RER9xtqwdhxkhw/edit?usp=sharing"",""ระยอง!I378"")"),0.0)</f>
        <v>0</v>
      </c>
      <c r="J483" s="223">
        <f>IFERROR(__xludf.DUMMYFUNCTION("IMPORTRANGE(""https://docs.google.com/spreadsheets/d/1SX6NBoVAgQJ6U1MVXOaj8PK2l7WJ3RER9xtqwdhxkhw/edit?usp=sharing"",""ระยอง!J378"")"),0.0)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IFERROR(__xludf.DUMMYFUNCTION("IMPORTRANGE(""https://docs.google.com/spreadsheets/d/1SX6NBoVAgQJ6U1MVXOaj8PK2l7WJ3RER9xtqwdhxkhw/edit?usp=sharing"",""ระยอง!I379"")"),0.0)</f>
        <v>0</v>
      </c>
      <c r="J484" s="223">
        <f>IFERROR(__xludf.DUMMYFUNCTION("IMPORTRANGE(""https://docs.google.com/spreadsheets/d/1SX6NBoVAgQJ6U1MVXOaj8PK2l7WJ3RER9xtqwdhxkhw/edit?usp=sharing"",""ระยอง!J379"")"),0.0)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IFERROR(__xludf.DUMMYFUNCTION("IMPORTRANGE(""https://docs.google.com/spreadsheets/d/1SX6NBoVAgQJ6U1MVXOaj8PK2l7WJ3RER9xtqwdhxkhw/edit?usp=sharing"",""ระยอง!I380"")"),0.0)</f>
        <v>0</v>
      </c>
      <c r="J485" s="223">
        <f>IFERROR(__xludf.DUMMYFUNCTION("IMPORTRANGE(""https://docs.google.com/spreadsheets/d/1SX6NBoVAgQJ6U1MVXOaj8PK2l7WJ3RER9xtqwdhxkhw/edit?usp=sharing"",""ระยอง!J380"")"),0.0)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IFERROR(__xludf.DUMMYFUNCTION("IMPORTRANGE(""https://docs.google.com/spreadsheets/d/1SX6NBoVAgQJ6U1MVXOaj8PK2l7WJ3RER9xtqwdhxkhw/edit?usp=sharing"",""ระยอง!I381"")"),0.0)</f>
        <v>0</v>
      </c>
      <c r="J486" s="223">
        <f>IFERROR(__xludf.DUMMYFUNCTION("IMPORTRANGE(""https://docs.google.com/spreadsheets/d/1SX6NBoVAgQJ6U1MVXOaj8PK2l7WJ3RER9xtqwdhxkhw/edit?usp=sharing"",""ระยอง!J381"")"),0.0)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IFERROR(__xludf.DUMMYFUNCTION("IMPORTRANGE(""https://docs.google.com/spreadsheets/d/1SX6NBoVAgQJ6U1MVXOaj8PK2l7WJ3RER9xtqwdhxkhw/edit?usp=sharing"",""ระยอง!I382"")"),0.0)</f>
        <v>0</v>
      </c>
      <c r="J487" s="453">
        <f>IFERROR(__xludf.DUMMYFUNCTION("IMPORTRANGE(""https://docs.google.com/spreadsheets/d/1SX6NBoVAgQJ6U1MVXOaj8PK2l7WJ3RER9xtqwdhxkhw/edit?usp=sharing"",""ระยอง!J382"")"),0.0)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IFERROR(__xludf.DUMMYFUNCTION("IMPORTRANGE(""https://docs.google.com/spreadsheets/d/1SX6NBoVAgQJ6U1MVXOaj8PK2l7WJ3RER9xtqwdhxkhw/edit?usp=sharing"",""ระยอง!I383"")"),0.0)</f>
        <v>0</v>
      </c>
      <c r="J488" s="453">
        <f>IFERROR(__xludf.DUMMYFUNCTION("IMPORTRANGE(""https://docs.google.com/spreadsheets/d/1SX6NBoVAgQJ6U1MVXOaj8PK2l7WJ3RER9xtqwdhxkhw/edit?usp=sharing"",""ระยอง!J383"")"),0.0)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IFERROR(__xludf.DUMMYFUNCTION("IMPORTRANGE(""https://docs.google.com/spreadsheets/d/1SX6NBoVAgQJ6U1MVXOaj8PK2l7WJ3RER9xtqwdhxkhw/edit?usp=sharing"",""ระยอง!I384"")"),0.0)</f>
        <v>0</v>
      </c>
      <c r="J489" s="223">
        <f>IFERROR(__xludf.DUMMYFUNCTION("IMPORTRANGE(""https://docs.google.com/spreadsheets/d/1SX6NBoVAgQJ6U1MVXOaj8PK2l7WJ3RER9xtqwdhxkhw/edit?usp=sharing"",""ระยอง!J384"")"),0.0)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IFERROR(__xludf.DUMMYFUNCTION("IMPORTRANGE(""https://docs.google.com/spreadsheets/d/1SX6NBoVAgQJ6U1MVXOaj8PK2l7WJ3RER9xtqwdhxkhw/edit?usp=sharing"",""ระยอง!I385"")"),0.0)</f>
        <v>0</v>
      </c>
      <c r="J490" s="223">
        <f>IFERROR(__xludf.DUMMYFUNCTION("IMPORTRANGE(""https://docs.google.com/spreadsheets/d/1SX6NBoVAgQJ6U1MVXOaj8PK2l7WJ3RER9xtqwdhxkhw/edit?usp=sharing"",""ระยอง!J385"")"),0.0)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IFERROR(__xludf.DUMMYFUNCTION("IMPORTRANGE(""https://docs.google.com/spreadsheets/d/1SX6NBoVAgQJ6U1MVXOaj8PK2l7WJ3RER9xtqwdhxkhw/edit?usp=sharing"",""ระยอง!I386"")"),0.0)</f>
        <v>0</v>
      </c>
      <c r="J491" s="223">
        <f>IFERROR(__xludf.DUMMYFUNCTION("IMPORTRANGE(""https://docs.google.com/spreadsheets/d/1SX6NBoVAgQJ6U1MVXOaj8PK2l7WJ3RER9xtqwdhxkhw/edit?usp=sharing"",""ระยอง!J386"")"),0.0)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IFERROR(__xludf.DUMMYFUNCTION("IMPORTRANGE(""https://docs.google.com/spreadsheets/d/1SX6NBoVAgQJ6U1MVXOaj8PK2l7WJ3RER9xtqwdhxkhw/edit?usp=sharing"",""ระยอง!I387"")"),0.0)</f>
        <v>0</v>
      </c>
      <c r="J492" s="223">
        <f>IFERROR(__xludf.DUMMYFUNCTION("IMPORTRANGE(""https://docs.google.com/spreadsheets/d/1SX6NBoVAgQJ6U1MVXOaj8PK2l7WJ3RER9xtqwdhxkhw/edit?usp=sharing"",""ระยอง!J387"")"),0.0)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IFERROR(__xludf.DUMMYFUNCTION("IMPORTRANGE(""https://docs.google.com/spreadsheets/d/1SX6NBoVAgQJ6U1MVXOaj8PK2l7WJ3RER9xtqwdhxkhw/edit?usp=sharing"",""ระยอง!I388"")"),0.0)</f>
        <v>0</v>
      </c>
      <c r="J493" s="223">
        <f>IFERROR(__xludf.DUMMYFUNCTION("IMPORTRANGE(""https://docs.google.com/spreadsheets/d/1SX6NBoVAgQJ6U1MVXOaj8PK2l7WJ3RER9xtqwdhxkhw/edit?usp=sharing"",""ระยอง!J388"")"),0.0)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IFERROR(__xludf.DUMMYFUNCTION("IMPORTRANGE(""https://docs.google.com/spreadsheets/d/1SX6NBoVAgQJ6U1MVXOaj8PK2l7WJ3RER9xtqwdhxkhw/edit?usp=sharing"",""ระยอง!I389"")"),0.0)</f>
        <v>0</v>
      </c>
      <c r="J494" s="469">
        <f>IFERROR(__xludf.DUMMYFUNCTION("IMPORTRANGE(""https://docs.google.com/spreadsheets/d/1SX6NBoVAgQJ6U1MVXOaj8PK2l7WJ3RER9xtqwdhxkhw/edit?usp=sharing"",""ระยอง!J389"")"),0.0)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IFERROR(__xludf.DUMMYFUNCTION("IMPORTRANGE(""https://docs.google.com/spreadsheets/d/1SX6NBoVAgQJ6U1MVXOaj8PK2l7WJ3RER9xtqwdhxkhw/edit?usp=sharing"",""ระยอง!I390"")"),0.0)</f>
        <v>0</v>
      </c>
      <c r="J495" s="469">
        <f>IFERROR(__xludf.DUMMYFUNCTION("IMPORTRANGE(""https://docs.google.com/spreadsheets/d/1SX6NBoVAgQJ6U1MVXOaj8PK2l7WJ3RER9xtqwdhxkhw/edit?usp=sharing"",""ระยอง!J390"")"),0.0)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IFERROR(__xludf.DUMMYFUNCTION("IMPORTRANGE(""https://docs.google.com/spreadsheets/d/1SX6NBoVAgQJ6U1MVXOaj8PK2l7WJ3RER9xtqwdhxkhw/edit?usp=sharing"",""ระยอง!I391"")"),0.0)</f>
        <v>0</v>
      </c>
      <c r="J496" s="469">
        <f>IFERROR(__xludf.DUMMYFUNCTION("IMPORTRANGE(""https://docs.google.com/spreadsheets/d/1SX6NBoVAgQJ6U1MVXOaj8PK2l7WJ3RER9xtqwdhxkhw/edit?usp=sharing"",""ระยอง!J391"")"),0.0)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IFERROR(__xludf.DUMMYFUNCTION("IMPORTRANGE(""https://docs.google.com/spreadsheets/d/1SX6NBoVAgQJ6U1MVXOaj8PK2l7WJ3RER9xtqwdhxkhw/edit?usp=sharing"",""ระยอง!I392"")"),65.0)</f>
        <v>65</v>
      </c>
      <c r="J497" s="476">
        <f>IFERROR(__xludf.DUMMYFUNCTION("IMPORTRANGE(""https://docs.google.com/spreadsheets/d/1SX6NBoVAgQJ6U1MVXOaj8PK2l7WJ3RER9xtqwdhxkhw/edit?usp=sharing"",""ระยอง!J392"")"),0.0)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IFERROR(__xludf.DUMMYFUNCTION("IMPORTRANGE(""https://docs.google.com/spreadsheets/d/1SX6NBoVAgQJ6U1MVXOaj8PK2l7WJ3RER9xtqwdhxkhw/edit?usp=sharing"",""ระยอง!I393"")"),65.0)</f>
        <v>65</v>
      </c>
      <c r="J498" s="453">
        <f>IFERROR(__xludf.DUMMYFUNCTION("IMPORTRANGE(""https://docs.google.com/spreadsheets/d/1SX6NBoVAgQJ6U1MVXOaj8PK2l7WJ3RER9xtqwdhxkhw/edit?usp=sharing"",""ระยอง!J393"")"),0.0)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IFERROR(__xludf.DUMMYFUNCTION("IMPORTRANGE(""https://docs.google.com/spreadsheets/d/1SX6NBoVAgQJ6U1MVXOaj8PK2l7WJ3RER9xtqwdhxkhw/edit?usp=sharing"",""ระยอง!I394"")"),12.0)</f>
        <v>12</v>
      </c>
      <c r="J499" s="453">
        <f>IFERROR(__xludf.DUMMYFUNCTION("IMPORTRANGE(""https://docs.google.com/spreadsheets/d/1SX6NBoVAgQJ6U1MVXOaj8PK2l7WJ3RER9xtqwdhxkhw/edit?usp=sharing"",""ระยอง!J394"")"),0.0)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IFERROR(__xludf.DUMMYFUNCTION("IMPORTRANGE(""https://docs.google.com/spreadsheets/d/1SX6NBoVAgQJ6U1MVXOaj8PK2l7WJ3RER9xtqwdhxkhw/edit?usp=sharing"",""ระยอง!I395"")"),0.0)</f>
        <v>0</v>
      </c>
      <c r="J500" s="195">
        <f>IFERROR(__xludf.DUMMYFUNCTION("IMPORTRANGE(""https://docs.google.com/spreadsheets/d/1SX6NBoVAgQJ6U1MVXOaj8PK2l7WJ3RER9xtqwdhxkhw/edit?usp=sharing"",""ระยอง!J395"")"),0.0)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IFERROR(__xludf.DUMMYFUNCTION("IMPORTRANGE(""https://docs.google.com/spreadsheets/d/1SX6NBoVAgQJ6U1MVXOaj8PK2l7WJ3RER9xtqwdhxkhw/edit?usp=sharing"",""ระยอง!I396"")"),0.0)</f>
        <v>0</v>
      </c>
      <c r="J501" s="195">
        <f>IFERROR(__xludf.DUMMYFUNCTION("IMPORTRANGE(""https://docs.google.com/spreadsheets/d/1SX6NBoVAgQJ6U1MVXOaj8PK2l7WJ3RER9xtqwdhxkhw/edit?usp=sharing"",""ระยอง!J396"")"),0.0)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IFERROR(__xludf.DUMMYFUNCTION("IMPORTRANGE(""https://docs.google.com/spreadsheets/d/1SX6NBoVAgQJ6U1MVXOaj8PK2l7WJ3RER9xtqwdhxkhw/edit?usp=sharing"",""ระยอง!I397"")"),0.0)</f>
        <v>0</v>
      </c>
      <c r="J502" s="223">
        <f>IFERROR(__xludf.DUMMYFUNCTION("IMPORTRANGE(""https://docs.google.com/spreadsheets/d/1SX6NBoVAgQJ6U1MVXOaj8PK2l7WJ3RER9xtqwdhxkhw/edit?usp=sharing"",""ระยอง!J397"")"),0.0)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IFERROR(__xludf.DUMMYFUNCTION("IMPORTRANGE(""https://docs.google.com/spreadsheets/d/1SX6NBoVAgQJ6U1MVXOaj8PK2l7WJ3RER9xtqwdhxkhw/edit?usp=sharing"",""ระยอง!I398"")"),0.0)</f>
        <v>0</v>
      </c>
      <c r="J503" s="232">
        <f>IFERROR(__xludf.DUMMYFUNCTION("IMPORTRANGE(""https://docs.google.com/spreadsheets/d/1SX6NBoVAgQJ6U1MVXOaj8PK2l7WJ3RER9xtqwdhxkhw/edit?usp=sharing"",""ระยอง!J398"")"),0.0)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IFERROR(__xludf.DUMMYFUNCTION("IMPORTRANGE(""https://docs.google.com/spreadsheets/d/1SX6NBoVAgQJ6U1MVXOaj8PK2l7WJ3RER9xtqwdhxkhw/edit?usp=sharing"",""ระยอง!I399"")"),0.0)</f>
        <v>0</v>
      </c>
      <c r="J504" s="223">
        <f>IFERROR(__xludf.DUMMYFUNCTION("IMPORTRANGE(""https://docs.google.com/spreadsheets/d/1SX6NBoVAgQJ6U1MVXOaj8PK2l7WJ3RER9xtqwdhxkhw/edit?usp=sharing"",""ระยอง!J399"")"),0.0)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IFERROR(__xludf.DUMMYFUNCTION("IMPORTRANGE(""https://docs.google.com/spreadsheets/d/1SX6NBoVAgQJ6U1MVXOaj8PK2l7WJ3RER9xtqwdhxkhw/edit?usp=sharing"",""ระยอง!I400"")"),0.0)</f>
        <v>0</v>
      </c>
      <c r="J505" s="232">
        <f>IFERROR(__xludf.DUMMYFUNCTION("IMPORTRANGE(""https://docs.google.com/spreadsheets/d/1SX6NBoVAgQJ6U1MVXOaj8PK2l7WJ3RER9xtqwdhxkhw/edit?usp=sharing"",""ระยอง!J400"")"),0.0)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IFERROR(__xludf.DUMMYFUNCTION("IMPORTRANGE(""https://docs.google.com/spreadsheets/d/1SX6NBoVAgQJ6U1MVXOaj8PK2l7WJ3RER9xtqwdhxkhw/edit?usp=sharing"",""ระยอง!I401"")"),0.0)</f>
        <v>0</v>
      </c>
      <c r="J506" s="223">
        <f>IFERROR(__xludf.DUMMYFUNCTION("IMPORTRANGE(""https://docs.google.com/spreadsheets/d/1SX6NBoVAgQJ6U1MVXOaj8PK2l7WJ3RER9xtqwdhxkhw/edit?usp=sharing"",""ระยอง!J401"")"),0.0)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IFERROR(__xludf.DUMMYFUNCTION("IMPORTRANGE(""https://docs.google.com/spreadsheets/d/1SX6NBoVAgQJ6U1MVXOaj8PK2l7WJ3RER9xtqwdhxkhw/edit?usp=sharing"",""ระยอง!I402"")"),0.0)</f>
        <v>0</v>
      </c>
      <c r="J507" s="232">
        <f>IFERROR(__xludf.DUMMYFUNCTION("IMPORTRANGE(""https://docs.google.com/spreadsheets/d/1SX6NBoVAgQJ6U1MVXOaj8PK2l7WJ3RER9xtqwdhxkhw/edit?usp=sharing"",""ระยอง!J402"")"),0.0)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IFERROR(__xludf.DUMMYFUNCTION("IMPORTRANGE(""https://docs.google.com/spreadsheets/d/1SX6NBoVAgQJ6U1MVXOaj8PK2l7WJ3RER9xtqwdhxkhw/edit?usp=sharing"",""ระยอง!I403"")"),0.0)</f>
        <v>0</v>
      </c>
      <c r="J508" s="195">
        <f>IFERROR(__xludf.DUMMYFUNCTION("IMPORTRANGE(""https://docs.google.com/spreadsheets/d/1SX6NBoVAgQJ6U1MVXOaj8PK2l7WJ3RER9xtqwdhxkhw/edit?usp=sharing"",""ระยอง!J403"")"),0.0)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IFERROR(__xludf.DUMMYFUNCTION("IMPORTRANGE(""https://docs.google.com/spreadsheets/d/1SX6NBoVAgQJ6U1MVXOaj8PK2l7WJ3RER9xtqwdhxkhw/edit?usp=sharing"",""ระยอง!I404"")"),0.0)</f>
        <v>0</v>
      </c>
      <c r="J509" s="195">
        <f>IFERROR(__xludf.DUMMYFUNCTION("IMPORTRANGE(""https://docs.google.com/spreadsheets/d/1SX6NBoVAgQJ6U1MVXOaj8PK2l7WJ3RER9xtqwdhxkhw/edit?usp=sharing"",""ระยอง!J404"")"),0.0)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IFERROR(__xludf.DUMMYFUNCTION("IMPORTRANGE(""https://docs.google.com/spreadsheets/d/1SX6NBoVAgQJ6U1MVXOaj8PK2l7WJ3RER9xtqwdhxkhw/edit?usp=sharing"",""ระยอง!I405"")"),0.0)</f>
        <v>0</v>
      </c>
      <c r="J510" s="232">
        <f>IFERROR(__xludf.DUMMYFUNCTION("IMPORTRANGE(""https://docs.google.com/spreadsheets/d/1SX6NBoVAgQJ6U1MVXOaj8PK2l7WJ3RER9xtqwdhxkhw/edit?usp=sharing"",""ระยอง!J405"")"),0.0)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IFERROR(__xludf.DUMMYFUNCTION("IMPORTRANGE(""https://docs.google.com/spreadsheets/d/1SX6NBoVAgQJ6U1MVXOaj8PK2l7WJ3RER9xtqwdhxkhw/edit?usp=sharing"",""ระยอง!I406"")"),0.0)</f>
        <v>0</v>
      </c>
      <c r="J511" s="232">
        <f>IFERROR(__xludf.DUMMYFUNCTION("IMPORTRANGE(""https://docs.google.com/spreadsheets/d/1SX6NBoVAgQJ6U1MVXOaj8PK2l7WJ3RER9xtqwdhxkhw/edit?usp=sharing"",""ระยอง!J406"")"),0.0)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IFERROR(__xludf.DUMMYFUNCTION("IMPORTRANGE(""https://docs.google.com/spreadsheets/d/1SX6NBoVAgQJ6U1MVXOaj8PK2l7WJ3RER9xtqwdhxkhw/edit?usp=sharing"",""ระยอง!I407"")"),0.0)</f>
        <v>0</v>
      </c>
      <c r="J512" s="232">
        <f>IFERROR(__xludf.DUMMYFUNCTION("IMPORTRANGE(""https://docs.google.com/spreadsheets/d/1SX6NBoVAgQJ6U1MVXOaj8PK2l7WJ3RER9xtqwdhxkhw/edit?usp=sharing"",""ระยอง!J407"")"),0.0)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IFERROR(__xludf.DUMMYFUNCTION("IMPORTRANGE(""https://docs.google.com/spreadsheets/d/1SX6NBoVAgQJ6U1MVXOaj8PK2l7WJ3RER9xtqwdhxkhw/edit?usp=sharing"",""ระยอง!I408"")"),0.0)</f>
        <v>0</v>
      </c>
      <c r="J513" s="232">
        <f>IFERROR(__xludf.DUMMYFUNCTION("IMPORTRANGE(""https://docs.google.com/spreadsheets/d/1SX6NBoVAgQJ6U1MVXOaj8PK2l7WJ3RER9xtqwdhxkhw/edit?usp=sharing"",""ระยอง!J408"")"),0.0)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IFERROR(__xludf.DUMMYFUNCTION("IMPORTRANGE(""https://docs.google.com/spreadsheets/d/1SX6NBoVAgQJ6U1MVXOaj8PK2l7WJ3RER9xtqwdhxkhw/edit?usp=sharing"",""ระยอง!I409"")"),0.0)</f>
        <v>0</v>
      </c>
      <c r="J514" s="232">
        <f>IFERROR(__xludf.DUMMYFUNCTION("IMPORTRANGE(""https://docs.google.com/spreadsheets/d/1SX6NBoVAgQJ6U1MVXOaj8PK2l7WJ3RER9xtqwdhxkhw/edit?usp=sharing"",""ระยอง!J409"")"),0.0)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IFERROR(__xludf.DUMMYFUNCTION("IMPORTRANGE(""https://docs.google.com/spreadsheets/d/1SX6NBoVAgQJ6U1MVXOaj8PK2l7WJ3RER9xtqwdhxkhw/edit?usp=sharing"",""ระยอง!I410"")"),0.0)</f>
        <v>0</v>
      </c>
      <c r="J515" s="232">
        <f>IFERROR(__xludf.DUMMYFUNCTION("IMPORTRANGE(""https://docs.google.com/spreadsheets/d/1SX6NBoVAgQJ6U1MVXOaj8PK2l7WJ3RER9xtqwdhxkhw/edit?usp=sharing"",""ระยอง!J410"")"),0.0)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IFERROR(__xludf.DUMMYFUNCTION("IMPORTRANGE(""https://docs.google.com/spreadsheets/d/1SX6NBoVAgQJ6U1MVXOaj8PK2l7WJ3RER9xtqwdhxkhw/edit?usp=sharing"",""ระยอง!I411"")"),0.0)</f>
        <v>0</v>
      </c>
      <c r="J516" s="301">
        <f>IFERROR(__xludf.DUMMYFUNCTION("IMPORTRANGE(""https://docs.google.com/spreadsheets/d/1SX6NBoVAgQJ6U1MVXOaj8PK2l7WJ3RER9xtqwdhxkhw/edit?usp=sharing"",""ระยอง!J411"")"),0.0)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IFERROR(__xludf.DUMMYFUNCTION("IMPORTRANGE(""https://docs.google.com/spreadsheets/d/1SX6NBoVAgQJ6U1MVXOaj8PK2l7WJ3RER9xtqwdhxkhw/edit?usp=sharing"",""ระยอง!I412"")"),0.0)</f>
        <v>0</v>
      </c>
      <c r="J517" s="317">
        <f>IFERROR(__xludf.DUMMYFUNCTION("IMPORTRANGE(""https://docs.google.com/spreadsheets/d/1SX6NBoVAgQJ6U1MVXOaj8PK2l7WJ3RER9xtqwdhxkhw/edit?usp=sharing"",""ระยอง!J412"")"),0.0)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IFERROR(__xludf.DUMMYFUNCTION("IMPORTRANGE(""https://docs.google.com/spreadsheets/d/1SX6NBoVAgQJ6U1MVXOaj8PK2l7WJ3RER9xtqwdhxkhw/edit?usp=sharing"",""ระยอง!I413"")"),0.0)</f>
        <v>0</v>
      </c>
      <c r="J518" s="317">
        <f>IFERROR(__xludf.DUMMYFUNCTION("IMPORTRANGE(""https://docs.google.com/spreadsheets/d/1SX6NBoVAgQJ6U1MVXOaj8PK2l7WJ3RER9xtqwdhxkhw/edit?usp=sharing"",""ระยอง!J413"")"),0.0)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IFERROR(__xludf.DUMMYFUNCTION("IMPORTRANGE(""https://docs.google.com/spreadsheets/d/1SX6NBoVAgQJ6U1MVXOaj8PK2l7WJ3RER9xtqwdhxkhw/edit?usp=sharing"",""ระยอง!I414"")"),0.0)</f>
        <v>0</v>
      </c>
      <c r="J519" s="222">
        <f>IFERROR(__xludf.DUMMYFUNCTION("IMPORTRANGE(""https://docs.google.com/spreadsheets/d/1SX6NBoVAgQJ6U1MVXOaj8PK2l7WJ3RER9xtqwdhxkhw/edit?usp=sharing"",""ระยอง!J414"")"),0.0)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IFERROR(__xludf.DUMMYFUNCTION("IMPORTRANGE(""https://docs.google.com/spreadsheets/d/1SX6NBoVAgQJ6U1MVXOaj8PK2l7WJ3RER9xtqwdhxkhw/edit?usp=sharing"",""ระยอง!I415"")"),0.0)</f>
        <v>0</v>
      </c>
      <c r="J520" s="222">
        <f>IFERROR(__xludf.DUMMYFUNCTION("IMPORTRANGE(""https://docs.google.com/spreadsheets/d/1SX6NBoVAgQJ6U1MVXOaj8PK2l7WJ3RER9xtqwdhxkhw/edit?usp=sharing"",""ระยอง!J415"")"),0.0)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IFERROR(__xludf.DUMMYFUNCTION("IMPORTRANGE(""https://docs.google.com/spreadsheets/d/1SX6NBoVAgQJ6U1MVXOaj8PK2l7WJ3RER9xtqwdhxkhw/edit?usp=sharing"",""ระยอง!I416"")"),0.0)</f>
        <v>0</v>
      </c>
      <c r="J521" s="222">
        <f>IFERROR(__xludf.DUMMYFUNCTION("IMPORTRANGE(""https://docs.google.com/spreadsheets/d/1SX6NBoVAgQJ6U1MVXOaj8PK2l7WJ3RER9xtqwdhxkhw/edit?usp=sharing"",""ระยอง!J416"")"),0.0)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IFERROR(__xludf.DUMMYFUNCTION("IMPORTRANGE(""https://docs.google.com/spreadsheets/d/1SX6NBoVAgQJ6U1MVXOaj8PK2l7WJ3RER9xtqwdhxkhw/edit?usp=sharing"",""ระยอง!I417"")"),0.0)</f>
        <v>0</v>
      </c>
      <c r="J522" s="222">
        <f>IFERROR(__xludf.DUMMYFUNCTION("IMPORTRANGE(""https://docs.google.com/spreadsheets/d/1SX6NBoVAgQJ6U1MVXOaj8PK2l7WJ3RER9xtqwdhxkhw/edit?usp=sharing"",""ระยอง!J417"")"),0.0)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IFERROR(__xludf.DUMMYFUNCTION("IMPORTRANGE(""https://docs.google.com/spreadsheets/d/1SX6NBoVAgQJ6U1MVXOaj8PK2l7WJ3RER9xtqwdhxkhw/edit?usp=sharing"",""ระยอง!I418"")"),0.0)</f>
        <v>0</v>
      </c>
      <c r="J523" s="222">
        <f>IFERROR(__xludf.DUMMYFUNCTION("IMPORTRANGE(""https://docs.google.com/spreadsheets/d/1SX6NBoVAgQJ6U1MVXOaj8PK2l7WJ3RER9xtqwdhxkhw/edit?usp=sharing"",""ระยอง!J418"")"),0.0)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IFERROR(__xludf.DUMMYFUNCTION("IMPORTRANGE(""https://docs.google.com/spreadsheets/d/1SX6NBoVAgQJ6U1MVXOaj8PK2l7WJ3RER9xtqwdhxkhw/edit?usp=sharing"",""ระยอง!I419"")"),0.0)</f>
        <v>0</v>
      </c>
      <c r="J524" s="222">
        <f>IFERROR(__xludf.DUMMYFUNCTION("IMPORTRANGE(""https://docs.google.com/spreadsheets/d/1SX6NBoVAgQJ6U1MVXOaj8PK2l7WJ3RER9xtqwdhxkhw/edit?usp=sharing"",""ระยอง!J419"")"),0.0)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IFERROR(__xludf.DUMMYFUNCTION("IMPORTRANGE(""https://docs.google.com/spreadsheets/d/1SX6NBoVAgQJ6U1MVXOaj8PK2l7WJ3RER9xtqwdhxkhw/edit?usp=sharing"",""ระยอง!I420"")"),0.0)</f>
        <v>0</v>
      </c>
      <c r="J525" s="317">
        <f>IFERROR(__xludf.DUMMYFUNCTION("IMPORTRANGE(""https://docs.google.com/spreadsheets/d/1SX6NBoVAgQJ6U1MVXOaj8PK2l7WJ3RER9xtqwdhxkhw/edit?usp=sharing"",""ระยอง!J420"")"),0.0)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IFERROR(__xludf.DUMMYFUNCTION("IMPORTRANGE(""https://docs.google.com/spreadsheets/d/1SX6NBoVAgQJ6U1MVXOaj8PK2l7WJ3RER9xtqwdhxkhw/edit?usp=sharing"",""ระยอง!I421"")"),0.0)</f>
        <v>0</v>
      </c>
      <c r="J526" s="317">
        <f>IFERROR(__xludf.DUMMYFUNCTION("IMPORTRANGE(""https://docs.google.com/spreadsheets/d/1SX6NBoVAgQJ6U1MVXOaj8PK2l7WJ3RER9xtqwdhxkhw/edit?usp=sharing"",""ระยอง!J421"")"),0.0)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IFERROR(__xludf.DUMMYFUNCTION("IMPORTRANGE(""https://docs.google.com/spreadsheets/d/1SX6NBoVAgQJ6U1MVXOaj8PK2l7WJ3RER9xtqwdhxkhw/edit?usp=sharing"",""ระยอง!I422"")"),0.0)</f>
        <v>0</v>
      </c>
      <c r="J527" s="232">
        <f>IFERROR(__xludf.DUMMYFUNCTION("IMPORTRANGE(""https://docs.google.com/spreadsheets/d/1SX6NBoVAgQJ6U1MVXOaj8PK2l7WJ3RER9xtqwdhxkhw/edit?usp=sharing"",""ระยอง!J422"")"),0.0)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IFERROR(__xludf.DUMMYFUNCTION("IMPORTRANGE(""https://docs.google.com/spreadsheets/d/1SX6NBoVAgQJ6U1MVXOaj8PK2l7WJ3RER9xtqwdhxkhw/edit?usp=sharing"",""ระยอง!I423"")"),0.0)</f>
        <v>0</v>
      </c>
      <c r="J528" s="232">
        <f>IFERROR(__xludf.DUMMYFUNCTION("IMPORTRANGE(""https://docs.google.com/spreadsheets/d/1SX6NBoVAgQJ6U1MVXOaj8PK2l7WJ3RER9xtqwdhxkhw/edit?usp=sharing"",""ระยอง!J423"")"),0.0)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IFERROR(__xludf.DUMMYFUNCTION("IMPORTRANGE(""https://docs.google.com/spreadsheets/d/1SX6NBoVAgQJ6U1MVXOaj8PK2l7WJ3RER9xtqwdhxkhw/edit?usp=sharing"",""ระยอง!I424"")"),0.0)</f>
        <v>0</v>
      </c>
      <c r="J529" s="232">
        <f>IFERROR(__xludf.DUMMYFUNCTION("IMPORTRANGE(""https://docs.google.com/spreadsheets/d/1SX6NBoVAgQJ6U1MVXOaj8PK2l7WJ3RER9xtqwdhxkhw/edit?usp=sharing"",""ระยอง!J424"")"),0.0)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IFERROR(__xludf.DUMMYFUNCTION("IMPORTRANGE(""https://docs.google.com/spreadsheets/d/1SX6NBoVAgQJ6U1MVXOaj8PK2l7WJ3RER9xtqwdhxkhw/edit?usp=sharing"",""ระยอง!I425"")"),0.0)</f>
        <v>0</v>
      </c>
      <c r="J530" s="232">
        <f>IFERROR(__xludf.DUMMYFUNCTION("IMPORTRANGE(""https://docs.google.com/spreadsheets/d/1SX6NBoVAgQJ6U1MVXOaj8PK2l7WJ3RER9xtqwdhxkhw/edit?usp=sharing"",""ระยอง!J425"")"),0.0)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IFERROR(__xludf.DUMMYFUNCTION("IMPORTRANGE(""https://docs.google.com/spreadsheets/d/1SX6NBoVAgQJ6U1MVXOaj8PK2l7WJ3RER9xtqwdhxkhw/edit?usp=sharing"",""ระยอง!I426"")"),0.0)</f>
        <v>0</v>
      </c>
      <c r="J531" s="232">
        <f>IFERROR(__xludf.DUMMYFUNCTION("IMPORTRANGE(""https://docs.google.com/spreadsheets/d/1SX6NBoVAgQJ6U1MVXOaj8PK2l7WJ3RER9xtqwdhxkhw/edit?usp=sharing"",""ระยอง!J426"")"),0.0)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IFERROR(__xludf.DUMMYFUNCTION("IMPORTRANGE(""https://docs.google.com/spreadsheets/d/1SX6NBoVAgQJ6U1MVXOaj8PK2l7WJ3RER9xtqwdhxkhw/edit?usp=sharing"",""ระยอง!I427"")"),0.0)</f>
        <v>0</v>
      </c>
      <c r="J532" s="499">
        <f>IFERROR(__xludf.DUMMYFUNCTION("IMPORTRANGE(""https://docs.google.com/spreadsheets/d/1SX6NBoVAgQJ6U1MVXOaj8PK2l7WJ3RER9xtqwdhxkhw/edit?usp=sharing"",""ระยอง!J427"")"),0.0)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IFERROR(__xludf.DUMMYFUNCTION("IMPORTRANGE(""https://docs.google.com/spreadsheets/d/1SX6NBoVAgQJ6U1MVXOaj8PK2l7WJ3RER9xtqwdhxkhw/edit?usp=sharing"",""ระยอง!I428"")"),22.0)</f>
        <v>22</v>
      </c>
      <c r="J533" s="443">
        <f>IFERROR(__xludf.DUMMYFUNCTION("IMPORTRANGE(""https://docs.google.com/spreadsheets/d/1SX6NBoVAgQJ6U1MVXOaj8PK2l7WJ3RER9xtqwdhxkhw/edit?usp=sharing"",""ระยอง!J428"")"),22.0)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IFERROR(__xludf.DUMMYFUNCTION("IMPORTRANGE(""https://docs.google.com/spreadsheets/d/1SX6NBoVAgQJ6U1MVXOaj8PK2l7WJ3RER9xtqwdhxkhw/edit?usp=sharing"",""ระยอง!L428"")"),34340.0)</f>
        <v>34340</v>
      </c>
      <c r="M533" s="445"/>
      <c r="N533" s="445">
        <f>IFERROR(__xludf.DUMMYFUNCTION("IMPORTRANGE(""https://docs.google.com/spreadsheets/d/1SX6NBoVAgQJ6U1MVXOaj8PK2l7WJ3RER9xtqwdhxkhw/edit?usp=sharing"",""ระยอง!M428"")"),29070.0)</f>
        <v>29070</v>
      </c>
      <c r="O533" s="445">
        <f t="shared" ref="O533:O537" si="119">+IF(L533&gt;0,N533*100/L533,0)</f>
        <v>84.65346535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IFERROR(__xludf.DUMMYFUNCTION("IMPORTRANGE(""https://docs.google.com/spreadsheets/d/1SX6NBoVAgQJ6U1MVXOaj8PK2l7WJ3RER9xtqwdhxkhw/edit?usp=sharing"",""ระยอง!L429"")"),0.0)</f>
        <v>0</v>
      </c>
      <c r="M534" s="197"/>
      <c r="N534" s="203">
        <f>IFERROR(__xludf.DUMMYFUNCTION("IMPORTRANGE(""https://docs.google.com/spreadsheets/d/1SX6NBoVAgQJ6U1MVXOaj8PK2l7WJ3RER9xtqwdhxkhw/edit?usp=sharing"",""ระยอง!M429"")"),0.0)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IFERROR(__xludf.DUMMYFUNCTION("IMPORTRANGE(""https://docs.google.com/spreadsheets/d/1SX6NBoVAgQJ6U1MVXOaj8PK2l7WJ3RER9xtqwdhxkhw/edit?usp=sharing"",""ระยอง!L430"")"),34340.0)</f>
        <v>34340</v>
      </c>
      <c r="M535" s="198"/>
      <c r="N535" s="203">
        <f>IFERROR(__xludf.DUMMYFUNCTION("IMPORTRANGE(""https://docs.google.com/spreadsheets/d/1SX6NBoVAgQJ6U1MVXOaj8PK2l7WJ3RER9xtqwdhxkhw/edit?usp=sharing"",""ระยอง!M430"")"),29070.0)</f>
        <v>29070</v>
      </c>
      <c r="O535" s="203">
        <f t="shared" si="119"/>
        <v>84.65346535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IFERROR(__xludf.DUMMYFUNCTION("IMPORTRANGE(""https://docs.google.com/spreadsheets/d/1SX6NBoVAgQJ6U1MVXOaj8PK2l7WJ3RER9xtqwdhxkhw/edit?usp=sharing"",""ระยอง!L431"")"),0.0)</f>
        <v>0</v>
      </c>
      <c r="M536" s="203"/>
      <c r="N536" s="203">
        <f>IFERROR(__xludf.DUMMYFUNCTION("IMPORTRANGE(""https://docs.google.com/spreadsheets/d/1SX6NBoVAgQJ6U1MVXOaj8PK2l7WJ3RER9xtqwdhxkhw/edit?usp=sharing"",""ระยอง!M431"")"),0.0)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IFERROR(__xludf.DUMMYFUNCTION("IMPORTRANGE(""https://docs.google.com/spreadsheets/d/1SX6NBoVAgQJ6U1MVXOaj8PK2l7WJ3RER9xtqwdhxkhw/edit?usp=sharing"",""ระยอง!L432"")"),34340.0)</f>
        <v>34340</v>
      </c>
      <c r="M537" s="203"/>
      <c r="N537" s="203">
        <f>IFERROR(__xludf.DUMMYFUNCTION("IMPORTRANGE(""https://docs.google.com/spreadsheets/d/1SX6NBoVAgQJ6U1MVXOaj8PK2l7WJ3RER9xtqwdhxkhw/edit?usp=sharing"",""ระยอง!M432"")"),29070.0)</f>
        <v>29070</v>
      </c>
      <c r="O537" s="203">
        <f t="shared" si="119"/>
        <v>84.65346535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IFERROR(__xludf.DUMMYFUNCTION("IMPORTRANGE(""https://docs.google.com/spreadsheets/d/1SX6NBoVAgQJ6U1MVXOaj8PK2l7WJ3RER9xtqwdhxkhw/edit?usp=sharing"",""ระยอง!M433"")"),18740.0)</f>
        <v>18740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IFERROR(__xludf.DUMMYFUNCTION("IMPORTRANGE(""https://docs.google.com/spreadsheets/d/1SX6NBoVAgQJ6U1MVXOaj8PK2l7WJ3RER9xtqwdhxkhw/edit?usp=sharing"",""ระยอง!M434"")"),0.0)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IFERROR(__xludf.DUMMYFUNCTION("IMPORTRANGE(""https://docs.google.com/spreadsheets/d/1SX6NBoVAgQJ6U1MVXOaj8PK2l7WJ3RER9xtqwdhxkhw/edit?usp=sharing"",""ระยอง!M435"")"),0.0)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IFERROR(__xludf.DUMMYFUNCTION("IMPORTRANGE(""https://docs.google.com/spreadsheets/d/1SX6NBoVAgQJ6U1MVXOaj8PK2l7WJ3RER9xtqwdhxkhw/edit?usp=sharing"",""ระยอง!M436"")"),10330.0)</f>
        <v>10330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IFERROR(__xludf.DUMMYFUNCTION("IMPORTRANGE(""https://docs.google.com/spreadsheets/d/1SX6NBoVAgQJ6U1MVXOaj8PK2l7WJ3RER9xtqwdhxkhw/edit?usp=sharing"",""ระยอง!J438"")"),0.0)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IFERROR(__xludf.DUMMYFUNCTION("IMPORTRANGE(""https://docs.google.com/spreadsheets/d/1SX6NBoVAgQJ6U1MVXOaj8PK2l7WJ3RER9xtqwdhxkhw/edit?usp=sharing"",""ระยอง!J439"")"),1.0)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IFERROR(__xludf.DUMMYFUNCTION("IMPORTRANGE(""https://docs.google.com/spreadsheets/d/1SX6NBoVAgQJ6U1MVXOaj8PK2l7WJ3RER9xtqwdhxkhw/edit?usp=sharing"",""ระยอง!J440"")"),1.0)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IFERROR(__xludf.DUMMYFUNCTION("IMPORTRANGE(""https://docs.google.com/spreadsheets/d/1SX6NBoVAgQJ6U1MVXOaj8PK2l7WJ3RER9xtqwdhxkhw/edit?usp=sharing"",""ระยอง!J441"")"),1.0)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IFERROR(__xludf.DUMMYFUNCTION("IMPORTRANGE(""https://docs.google.com/spreadsheets/d/1SX6NBoVAgQJ6U1MVXOaj8PK2l7WJ3RER9xtqwdhxkhw/edit?usp=sharing"",""ระยอง!I442"")"),22.0)</f>
        <v>22</v>
      </c>
      <c r="J547" s="223">
        <f>IFERROR(__xludf.DUMMYFUNCTION("IMPORTRANGE(""https://docs.google.com/spreadsheets/d/1SX6NBoVAgQJ6U1MVXOaj8PK2l7WJ3RER9xtqwdhxkhw/edit?usp=sharing"",""ระยอง!J442"")"),22.0)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IFERROR(__xludf.DUMMYFUNCTION("IMPORTRANGE(""https://docs.google.com/spreadsheets/d/1SX6NBoVAgQJ6U1MVXOaj8PK2l7WJ3RER9xtqwdhxkhw/edit?usp=sharing"",""ระยอง!J166"")"),0.0)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IFERROR(__xludf.DUMMYFUNCTION("IMPORTRANGE(""https://docs.google.com/spreadsheets/d/1SX6NBoVAgQJ6U1MVXOaj8PK2l7WJ3RER9xtqwdhxkhw/edit?usp=sharing"",""ระยอง!J444"")"),0.0)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IFERROR(__xludf.DUMMYFUNCTION("IMPORTRANGE(""https://docs.google.com/spreadsheets/d/1SX6NBoVAgQJ6U1MVXOaj8PK2l7WJ3RER9xtqwdhxkhw/edit?usp=sharing"",""ระยอง!J445"")"),0.0)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IFERROR(__xludf.DUMMYFUNCTION("IMPORTRANGE(""https://docs.google.com/spreadsheets/d/1SX6NBoVAgQJ6U1MVXOaj8PK2l7WJ3RER9xtqwdhxkhw/edit?usp=sharing"",""ระยอง!I446"")"),0.0)</f>
        <v>0</v>
      </c>
      <c r="J551" s="443">
        <f>IFERROR(__xludf.DUMMYFUNCTION("IMPORTRANGE(""https://docs.google.com/spreadsheets/d/1SX6NBoVAgQJ6U1MVXOaj8PK2l7WJ3RER9xtqwdhxkhw/edit?usp=sharing"",""ระยอง!J446"")"),0.0)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IFERROR(__xludf.DUMMYFUNCTION("IMPORTRANGE(""https://docs.google.com/spreadsheets/d/1SX6NBoVAgQJ6U1MVXOaj8PK2l7WJ3RER9xtqwdhxkhw/edit?usp=sharing"",""ระยอง!L446"")"),0.0)</f>
        <v>0</v>
      </c>
      <c r="M551" s="445"/>
      <c r="N551" s="445">
        <f>IFERROR(__xludf.DUMMYFUNCTION("IMPORTRANGE(""https://docs.google.com/spreadsheets/d/1SX6NBoVAgQJ6U1MVXOaj8PK2l7WJ3RER9xtqwdhxkhw/edit?usp=sharing"",""ระยอง!M446"")"),0.0)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IFERROR(__xludf.DUMMYFUNCTION("IMPORTRANGE(""https://docs.google.com/spreadsheets/d/1SX6NBoVAgQJ6U1MVXOaj8PK2l7WJ3RER9xtqwdhxkhw/edit?usp=sharing"",""ระยอง!L447"")"),0.0)</f>
        <v>0</v>
      </c>
      <c r="M552" s="197"/>
      <c r="N552" s="203">
        <f>IFERROR(__xludf.DUMMYFUNCTION("IMPORTRANGE(""https://docs.google.com/spreadsheets/d/1SX6NBoVAgQJ6U1MVXOaj8PK2l7WJ3RER9xtqwdhxkhw/edit?usp=sharing"",""ระยอง!M447"")"),0.0)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IFERROR(__xludf.DUMMYFUNCTION("IMPORTRANGE(""https://docs.google.com/spreadsheets/d/1SX6NBoVAgQJ6U1MVXOaj8PK2l7WJ3RER9xtqwdhxkhw/edit?usp=sharing"",""ระยอง!L448"")"),0.0)</f>
        <v>0</v>
      </c>
      <c r="M553" s="198"/>
      <c r="N553" s="203">
        <f>IFERROR(__xludf.DUMMYFUNCTION("IMPORTRANGE(""https://docs.google.com/spreadsheets/d/1SX6NBoVAgQJ6U1MVXOaj8PK2l7WJ3RER9xtqwdhxkhw/edit?usp=sharing"",""ระยอง!M448"")"),0.0)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IFERROR(__xludf.DUMMYFUNCTION("IMPORTRANGE(""https://docs.google.com/spreadsheets/d/1SX6NBoVAgQJ6U1MVXOaj8PK2l7WJ3RER9xtqwdhxkhw/edit?usp=sharing"",""ระยอง!L449"")"),0.0)</f>
        <v>0</v>
      </c>
      <c r="M554" s="203"/>
      <c r="N554" s="203">
        <f>IFERROR(__xludf.DUMMYFUNCTION("IMPORTRANGE(""https://docs.google.com/spreadsheets/d/1SX6NBoVAgQJ6U1MVXOaj8PK2l7WJ3RER9xtqwdhxkhw/edit?usp=sharing"",""ระยอง!M449"")"),0.0)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IFERROR(__xludf.DUMMYFUNCTION("IMPORTRANGE(""https://docs.google.com/spreadsheets/d/1SX6NBoVAgQJ6U1MVXOaj8PK2l7WJ3RER9xtqwdhxkhw/edit?usp=sharing"",""ระยอง!L450"")"),0.0)</f>
        <v>0</v>
      </c>
      <c r="M555" s="203"/>
      <c r="N555" s="203">
        <f>IFERROR(__xludf.DUMMYFUNCTION("IMPORTRANGE(""https://docs.google.com/spreadsheets/d/1SX6NBoVAgQJ6U1MVXOaj8PK2l7WJ3RER9xtqwdhxkhw/edit?usp=sharing"",""ระยอง!M450"")"),0.0)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IFERROR(__xludf.DUMMYFUNCTION("IMPORTRANGE(""https://docs.google.com/spreadsheets/d/1SX6NBoVAgQJ6U1MVXOaj8PK2l7WJ3RER9xtqwdhxkhw/edit?usp=sharing"",""ระยอง!M451"")"),0.0)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IFERROR(__xludf.DUMMYFUNCTION("IMPORTRANGE(""https://docs.google.com/spreadsheets/d/1SX6NBoVAgQJ6U1MVXOaj8PK2l7WJ3RER9xtqwdhxkhw/edit?usp=sharing"",""ระยอง!M452"")"),0.0)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IFERROR(__xludf.DUMMYFUNCTION("IMPORTRANGE(""https://docs.google.com/spreadsheets/d/1SX6NBoVAgQJ6U1MVXOaj8PK2l7WJ3RER9xtqwdhxkhw/edit?usp=sharing"",""ระยอง!M453"")"),0.0)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IFERROR(__xludf.DUMMYFUNCTION("IMPORTRANGE(""https://docs.google.com/spreadsheets/d/1SX6NBoVAgQJ6U1MVXOaj8PK2l7WJ3RER9xtqwdhxkhw/edit?usp=sharing"",""ระยอง!M454"")"),0.0)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IFERROR(__xludf.DUMMYFUNCTION("IMPORTRANGE(""https://docs.google.com/spreadsheets/d/1SX6NBoVAgQJ6U1MVXOaj8PK2l7WJ3RER9xtqwdhxkhw/edit?usp=sharing"",""ระยอง!I455"")"),0.0)</f>
        <v>0</v>
      </c>
      <c r="J560" s="195">
        <f>IFERROR(__xludf.DUMMYFUNCTION("IMPORTRANGE(""https://docs.google.com/spreadsheets/d/1SX6NBoVAgQJ6U1MVXOaj8PK2l7WJ3RER9xtqwdhxkhw/edit?usp=sharing"",""ระยอง!J455"")"),0.0)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IFERROR(__xludf.DUMMYFUNCTION("IMPORTRANGE(""https://docs.google.com/spreadsheets/d/1SX6NBoVAgQJ6U1MVXOaj8PK2l7WJ3RER9xtqwdhxkhw/edit?usp=sharing"",""ระยอง!I456"")"),0.0)</f>
        <v>0</v>
      </c>
      <c r="J561" s="238">
        <f>IFERROR(__xludf.DUMMYFUNCTION("IMPORTRANGE(""https://docs.google.com/spreadsheets/d/1SX6NBoVAgQJ6U1MVXOaj8PK2l7WJ3RER9xtqwdhxkhw/edit?usp=sharing"",""ระยอง!J456"")"),0.0)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IFERROR(__xludf.DUMMYFUNCTION("IMPORTRANGE(""https://docs.google.com/spreadsheets/d/1SX6NBoVAgQJ6U1MVXOaj8PK2l7WJ3RER9xtqwdhxkhw/edit?usp=sharing"",""ระยอง!I457"")"),"")</f>
        <v/>
      </c>
      <c r="J562" s="238" t="str">
        <f>IFERROR(__xludf.DUMMYFUNCTION("IMPORTRANGE(""https://docs.google.com/spreadsheets/d/1SX6NBoVAgQJ6U1MVXOaj8PK2l7WJ3RER9xtqwdhxkhw/edit?usp=sharing"",""ระยอง!J457"")"),"")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IFERROR(__xludf.DUMMYFUNCTION("IMPORTRANGE(""https://docs.google.com/spreadsheets/d/1SX6NBoVAgQJ6U1MVXOaj8PK2l7WJ3RER9xtqwdhxkhw/edit?usp=sharing"",""ระยอง!I458"")"),"")</f>
        <v/>
      </c>
      <c r="J563" s="222" t="str">
        <f>IFERROR(__xludf.DUMMYFUNCTION("IMPORTRANGE(""https://docs.google.com/spreadsheets/d/1SX6NBoVAgQJ6U1MVXOaj8PK2l7WJ3RER9xtqwdhxkhw/edit?usp=sharing"",""ระยอง!J458"")"),"")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IFERROR(__xludf.DUMMYFUNCTION("IMPORTRANGE(""https://docs.google.com/spreadsheets/d/1SX6NBoVAgQJ6U1MVXOaj8PK2l7WJ3RER9xtqwdhxkhw/edit?usp=sharing"",""ระยอง!I459"")"),200.0)</f>
        <v>200</v>
      </c>
      <c r="J564" s="404">
        <f>IFERROR(__xludf.DUMMYFUNCTION("IMPORTRANGE(""https://docs.google.com/spreadsheets/d/1SX6NBoVAgQJ6U1MVXOaj8PK2l7WJ3RER9xtqwdhxkhw/edit?usp=sharing"",""ระยอง!J459"")"),180.0)</f>
        <v>180</v>
      </c>
      <c r="K564" s="405">
        <f t="shared" si="122"/>
        <v>90</v>
      </c>
      <c r="L564" s="406">
        <f>IFERROR(__xludf.DUMMYFUNCTION("IMPORTRANGE(""https://docs.google.com/spreadsheets/d/1SX6NBoVAgQJ6U1MVXOaj8PK2l7WJ3RER9xtqwdhxkhw/edit?usp=sharing"",""ระยอง!L459"")"),120720.0)</f>
        <v>120720</v>
      </c>
      <c r="M564" s="406"/>
      <c r="N564" s="406">
        <f>IFERROR(__xludf.DUMMYFUNCTION("IMPORTRANGE(""https://docs.google.com/spreadsheets/d/1SX6NBoVAgQJ6U1MVXOaj8PK2l7WJ3RER9xtqwdhxkhw/edit?usp=sharing"",""ระยอง!M459"")"),4650.0)</f>
        <v>4650</v>
      </c>
      <c r="O564" s="406">
        <f t="shared" ref="O564:O568" si="123">+IF(L564&gt;0,N564*100/L564,0)</f>
        <v>3.851888668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IFERROR(__xludf.DUMMYFUNCTION("IMPORTRANGE(""https://docs.google.com/spreadsheets/d/1SX6NBoVAgQJ6U1MVXOaj8PK2l7WJ3RER9xtqwdhxkhw/edit?usp=sharing"",""ระยอง!L460"")"),0.0)</f>
        <v>0</v>
      </c>
      <c r="M565" s="197"/>
      <c r="N565" s="203">
        <f>IFERROR(__xludf.DUMMYFUNCTION("IMPORTRANGE(""https://docs.google.com/spreadsheets/d/1SX6NBoVAgQJ6U1MVXOaj8PK2l7WJ3RER9xtqwdhxkhw/edit?usp=sharing"",""ระยอง!M460"")"),0.0)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IFERROR(__xludf.DUMMYFUNCTION("IMPORTRANGE(""https://docs.google.com/spreadsheets/d/1SX6NBoVAgQJ6U1MVXOaj8PK2l7WJ3RER9xtqwdhxkhw/edit?usp=sharing"",""ระยอง!L461"")"),120720.0)</f>
        <v>120720</v>
      </c>
      <c r="M566" s="198"/>
      <c r="N566" s="203">
        <f>IFERROR(__xludf.DUMMYFUNCTION("IMPORTRANGE(""https://docs.google.com/spreadsheets/d/1SX6NBoVAgQJ6U1MVXOaj8PK2l7WJ3RER9xtqwdhxkhw/edit?usp=sharing"",""ระยอง!M461"")"),4650.0)</f>
        <v>4650</v>
      </c>
      <c r="O566" s="203">
        <f t="shared" si="123"/>
        <v>3.851888668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IFERROR(__xludf.DUMMYFUNCTION("IMPORTRANGE(""https://docs.google.com/spreadsheets/d/1SX6NBoVAgQJ6U1MVXOaj8PK2l7WJ3RER9xtqwdhxkhw/edit?usp=sharing"",""ระยอง!L462"")"),0.0)</f>
        <v>0</v>
      </c>
      <c r="M567" s="203"/>
      <c r="N567" s="203">
        <f>IFERROR(__xludf.DUMMYFUNCTION("IMPORTRANGE(""https://docs.google.com/spreadsheets/d/1SX6NBoVAgQJ6U1MVXOaj8PK2l7WJ3RER9xtqwdhxkhw/edit?usp=sharing"",""ระยอง!M462"")"),0.0)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IFERROR(__xludf.DUMMYFUNCTION("IMPORTRANGE(""https://docs.google.com/spreadsheets/d/1SX6NBoVAgQJ6U1MVXOaj8PK2l7WJ3RER9xtqwdhxkhw/edit?usp=sharing"",""ระยอง!L463"")"),120720.0)</f>
        <v>120720</v>
      </c>
      <c r="M568" s="203"/>
      <c r="N568" s="203">
        <f>IFERROR(__xludf.DUMMYFUNCTION("IMPORTRANGE(""https://docs.google.com/spreadsheets/d/1SX6NBoVAgQJ6U1MVXOaj8PK2l7WJ3RER9xtqwdhxkhw/edit?usp=sharing"",""ระยอง!M463"")"),4650.0)</f>
        <v>4650</v>
      </c>
      <c r="O568" s="203">
        <f t="shared" si="123"/>
        <v>3.851888668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IFERROR(__xludf.DUMMYFUNCTION("IMPORTRANGE(""https://docs.google.com/spreadsheets/d/1SX6NBoVAgQJ6U1MVXOaj8PK2l7WJ3RER9xtqwdhxkhw/edit?usp=sharing"",""ระยอง!M464"")"),0.0)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IFERROR(__xludf.DUMMYFUNCTION("IMPORTRANGE(""https://docs.google.com/spreadsheets/d/1SX6NBoVAgQJ6U1MVXOaj8PK2l7WJ3RER9xtqwdhxkhw/edit?usp=sharing"",""ระยอง!M465"")"),0.0)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IFERROR(__xludf.DUMMYFUNCTION("IMPORTRANGE(""https://docs.google.com/spreadsheets/d/1SX6NBoVAgQJ6U1MVXOaj8PK2l7WJ3RER9xtqwdhxkhw/edit?usp=sharing"",""ระยอง!M466"")"),0.0)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IFERROR(__xludf.DUMMYFUNCTION("IMPORTRANGE(""https://docs.google.com/spreadsheets/d/1SX6NBoVAgQJ6U1MVXOaj8PK2l7WJ3RER9xtqwdhxkhw/edit?usp=sharing"",""ระยอง!M467"")"),4650.0)</f>
        <v>4650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IFERROR(__xludf.DUMMYFUNCTION("IMPORTRANGE(""https://docs.google.com/spreadsheets/d/1SX6NBoVAgQJ6U1MVXOaj8PK2l7WJ3RER9xtqwdhxkhw/edit?usp=sharing"",""ระยอง!I468"")"),200.0)</f>
        <v>200</v>
      </c>
      <c r="J573" s="453">
        <f>IFERROR(__xludf.DUMMYFUNCTION("IMPORTRANGE(""https://docs.google.com/spreadsheets/d/1SX6NBoVAgQJ6U1MVXOaj8PK2l7WJ3RER9xtqwdhxkhw/edit?usp=sharing"",""ระยอง!J468"")"),180.0)</f>
        <v>180</v>
      </c>
      <c r="K573" s="236">
        <f>IF(I573&gt;0,J573*100/I573,0)</f>
        <v>90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IFERROR(__xludf.DUMMYFUNCTION("IMPORTRANGE(""https://docs.google.com/spreadsheets/d/1SX6NBoVAgQJ6U1MVXOaj8PK2l7WJ3RER9xtqwdhxkhw/edit?usp=sharing"",""ระยอง!I470"")"),0.0)</f>
        <v>0</v>
      </c>
      <c r="J575" s="232">
        <f>IFERROR(__xludf.DUMMYFUNCTION("IMPORTRANGE(""https://docs.google.com/spreadsheets/d/1SX6NBoVAgQJ6U1MVXOaj8PK2l7WJ3RER9xtqwdhxkhw/edit?usp=sharing"",""ระยอง!J470"")"),2.0)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IFERROR(__xludf.DUMMYFUNCTION("IMPORTRANGE(""https://docs.google.com/spreadsheets/d/1SX6NBoVAgQJ6U1MVXOaj8PK2l7WJ3RER9xtqwdhxkhw/edit?usp=sharing"",""ระยอง!I471"")"),0.0)</f>
        <v>0</v>
      </c>
      <c r="J576" s="232">
        <f>IFERROR(__xludf.DUMMYFUNCTION("IMPORTRANGE(""https://docs.google.com/spreadsheets/d/1SX6NBoVAgQJ6U1MVXOaj8PK2l7WJ3RER9xtqwdhxkhw/edit?usp=sharing"",""ระยอง!J471"")"),100.0)</f>
        <v>100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IFERROR(__xludf.DUMMYFUNCTION("IMPORTRANGE(""https://docs.google.com/spreadsheets/d/1SX6NBoVAgQJ6U1MVXOaj8PK2l7WJ3RER9xtqwdhxkhw/edit?usp=sharing"",""ระยอง!I472"")"),0.0)</f>
        <v>0</v>
      </c>
      <c r="J577" s="223">
        <f>IFERROR(__xludf.DUMMYFUNCTION("IMPORTRANGE(""https://docs.google.com/spreadsheets/d/1SX6NBoVAgQJ6U1MVXOaj8PK2l7WJ3RER9xtqwdhxkhw/edit?usp=sharing"",""ระยอง!J472"")"),0.0)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IFERROR(__xludf.DUMMYFUNCTION("IMPORTRANGE(""https://docs.google.com/spreadsheets/d/1SX6NBoVAgQJ6U1MVXOaj8PK2l7WJ3RER9xtqwdhxkhw/edit?usp=sharing"",""ระยอง!I473"")"),0.0)</f>
        <v>0</v>
      </c>
      <c r="J578" s="232">
        <f>IFERROR(__xludf.DUMMYFUNCTION("IMPORTRANGE(""https://docs.google.com/spreadsheets/d/1SX6NBoVAgQJ6U1MVXOaj8PK2l7WJ3RER9xtqwdhxkhw/edit?usp=sharing"",""ระยอง!J473"")"),0.0)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IFERROR(__xludf.DUMMYFUNCTION("IMPORTRANGE(""https://docs.google.com/spreadsheets/d/1SX6NBoVAgQJ6U1MVXOaj8PK2l7WJ3RER9xtqwdhxkhw/edit?usp=sharing"",""ระยอง!I474"")"),0.0)</f>
        <v>0</v>
      </c>
      <c r="J579" s="232">
        <f>IFERROR(__xludf.DUMMYFUNCTION("IMPORTRANGE(""https://docs.google.com/spreadsheets/d/1SX6NBoVAgQJ6U1MVXOaj8PK2l7WJ3RER9xtqwdhxkhw/edit?usp=sharing"",""ระยอง!J474"")"),80.0)</f>
        <v>80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IFERROR(__xludf.DUMMYFUNCTION("IMPORTRANGE(""https://docs.google.com/spreadsheets/d/1SX6NBoVAgQJ6U1MVXOaj8PK2l7WJ3RER9xtqwdhxkhw/edit?usp=sharing"",""ระยอง!I475"")"),0.0)</f>
        <v>0</v>
      </c>
      <c r="J580" s="404">
        <f>IFERROR(__xludf.DUMMYFUNCTION("IMPORTRANGE(""https://docs.google.com/spreadsheets/d/1SX6NBoVAgQJ6U1MVXOaj8PK2l7WJ3RER9xtqwdhxkhw/edit?usp=sharing"",""ระยอง!J475"")"),0.0)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IFERROR(__xludf.DUMMYFUNCTION("IMPORTRANGE(""https://docs.google.com/spreadsheets/d/1SX6NBoVAgQJ6U1MVXOaj8PK2l7WJ3RER9xtqwdhxkhw/edit?usp=sharing"",""ระยอง!L475"")"),92960.0)</f>
        <v>92960</v>
      </c>
      <c r="M580" s="406"/>
      <c r="N580" s="406">
        <f>IFERROR(__xludf.DUMMYFUNCTION("IMPORTRANGE(""https://docs.google.com/spreadsheets/d/1SX6NBoVAgQJ6U1MVXOaj8PK2l7WJ3RER9xtqwdhxkhw/edit?usp=sharing"",""ระยอง!M475"")"),0.0)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IFERROR(__xludf.DUMMYFUNCTION("IMPORTRANGE(""https://docs.google.com/spreadsheets/d/1SX6NBoVAgQJ6U1MVXOaj8PK2l7WJ3RER9xtqwdhxkhw/edit?usp=sharing"",""ระยอง!L476"")"),0.0)</f>
        <v>0</v>
      </c>
      <c r="M581" s="197"/>
      <c r="N581" s="203">
        <f>IFERROR(__xludf.DUMMYFUNCTION("IMPORTRANGE(""https://docs.google.com/spreadsheets/d/1SX6NBoVAgQJ6U1MVXOaj8PK2l7WJ3RER9xtqwdhxkhw/edit?usp=sharing"",""ระยอง!M476"")"),0.0)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IFERROR(__xludf.DUMMYFUNCTION("IMPORTRANGE(""https://docs.google.com/spreadsheets/d/1SX6NBoVAgQJ6U1MVXOaj8PK2l7WJ3RER9xtqwdhxkhw/edit?usp=sharing"",""ระยอง!L477"")"),92960.0)</f>
        <v>92960</v>
      </c>
      <c r="M582" s="198"/>
      <c r="N582" s="203">
        <f>IFERROR(__xludf.DUMMYFUNCTION("IMPORTRANGE(""https://docs.google.com/spreadsheets/d/1SX6NBoVAgQJ6U1MVXOaj8PK2l7WJ3RER9xtqwdhxkhw/edit?usp=sharing"",""ระยอง!M477"")"),0.0)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IFERROR(__xludf.DUMMYFUNCTION("IMPORTRANGE(""https://docs.google.com/spreadsheets/d/1SX6NBoVAgQJ6U1MVXOaj8PK2l7WJ3RER9xtqwdhxkhw/edit?usp=sharing"",""ระยอง!L478"")"),0.0)</f>
        <v>0</v>
      </c>
      <c r="M583" s="203"/>
      <c r="N583" s="203">
        <f>IFERROR(__xludf.DUMMYFUNCTION("IMPORTRANGE(""https://docs.google.com/spreadsheets/d/1SX6NBoVAgQJ6U1MVXOaj8PK2l7WJ3RER9xtqwdhxkhw/edit?usp=sharing"",""ระยอง!M478"")"),0.0)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IFERROR(__xludf.DUMMYFUNCTION("IMPORTRANGE(""https://docs.google.com/spreadsheets/d/1SX6NBoVAgQJ6U1MVXOaj8PK2l7WJ3RER9xtqwdhxkhw/edit?usp=sharing"",""ระยอง!L479"")"),92960.0)</f>
        <v>92960</v>
      </c>
      <c r="M584" s="203"/>
      <c r="N584" s="203">
        <f>IFERROR(__xludf.DUMMYFUNCTION("IMPORTRANGE(""https://docs.google.com/spreadsheets/d/1SX6NBoVAgQJ6U1MVXOaj8PK2l7WJ3RER9xtqwdhxkhw/edit?usp=sharing"",""ระยอง!M479"")"),0.0)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IFERROR(__xludf.DUMMYFUNCTION("IMPORTRANGE(""https://docs.google.com/spreadsheets/d/1SX6NBoVAgQJ6U1MVXOaj8PK2l7WJ3RER9xtqwdhxkhw/edit?usp=sharing"",""ระยอง!M480"")"),0.0)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IFERROR(__xludf.DUMMYFUNCTION("IMPORTRANGE(""https://docs.google.com/spreadsheets/d/1SX6NBoVAgQJ6U1MVXOaj8PK2l7WJ3RER9xtqwdhxkhw/edit?usp=sharing"",""ระยอง!M481"")"),0.0)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IFERROR(__xludf.DUMMYFUNCTION("IMPORTRANGE(""https://docs.google.com/spreadsheets/d/1SX6NBoVAgQJ6U1MVXOaj8PK2l7WJ3RER9xtqwdhxkhw/edit?usp=sharing"",""ระยอง!M482"")"),0.0)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IFERROR(__xludf.DUMMYFUNCTION("IMPORTRANGE(""https://docs.google.com/spreadsheets/d/1SX6NBoVAgQJ6U1MVXOaj8PK2l7WJ3RER9xtqwdhxkhw/edit?usp=sharing"",""ระยอง!M483"")"),0.0)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IFERROR(__xludf.DUMMYFUNCTION("IMPORTRANGE(""https://docs.google.com/spreadsheets/d/1SX6NBoVAgQJ6U1MVXOaj8PK2l7WJ3RER9xtqwdhxkhw/edit?usp=sharing"",""ระยอง!I484"")"),0.0)</f>
        <v>0</v>
      </c>
      <c r="J589" s="222">
        <f>IFERROR(__xludf.DUMMYFUNCTION("IMPORTRANGE(""https://docs.google.com/spreadsheets/d/1SX6NBoVAgQJ6U1MVXOaj8PK2l7WJ3RER9xtqwdhxkhw/edit?usp=sharing"",""ระยอง!J484"")"),0.0)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IFERROR(__xludf.DUMMYFUNCTION("IMPORTRANGE(""https://docs.google.com/spreadsheets/d/1SX6NBoVAgQJ6U1MVXOaj8PK2l7WJ3RER9xtqwdhxkhw/edit?usp=sharing"",""ระยอง!I485"")"),0.0)</f>
        <v>0</v>
      </c>
      <c r="J590" s="222">
        <f>IFERROR(__xludf.DUMMYFUNCTION("IMPORTRANGE(""https://docs.google.com/spreadsheets/d/1SX6NBoVAgQJ6U1MVXOaj8PK2l7WJ3RER9xtqwdhxkhw/edit?usp=sharing"",""ระยอง!J485"")"),0.0)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IFERROR(__xludf.DUMMYFUNCTION("IMPORTRANGE(""https://docs.google.com/spreadsheets/d/1SX6NBoVAgQJ6U1MVXOaj8PK2l7WJ3RER9xtqwdhxkhw/edit?usp=sharing"",""ระยอง!I486"")"),0.0)</f>
        <v>0</v>
      </c>
      <c r="J591" s="222">
        <f>IFERROR(__xludf.DUMMYFUNCTION("IMPORTRANGE(""https://docs.google.com/spreadsheets/d/1SX6NBoVAgQJ6U1MVXOaj8PK2l7WJ3RER9xtqwdhxkhw/edit?usp=sharing"",""ระยอง!J486"")"),0.0)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IFERROR(__xludf.DUMMYFUNCTION("IMPORTRANGE(""https://docs.google.com/spreadsheets/d/1SX6NBoVAgQJ6U1MVXOaj8PK2l7WJ3RER9xtqwdhxkhw/edit?usp=sharing"",""ระยอง!I487"")"),0.0)</f>
        <v>0</v>
      </c>
      <c r="J592" s="222">
        <f>IFERROR(__xludf.DUMMYFUNCTION("IMPORTRANGE(""https://docs.google.com/spreadsheets/d/1SX6NBoVAgQJ6U1MVXOaj8PK2l7WJ3RER9xtqwdhxkhw/edit?usp=sharing"",""ระยอง!J487"")"),0.0)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IFERROR(__xludf.DUMMYFUNCTION("IMPORTRANGE(""https://docs.google.com/spreadsheets/d/1SX6NBoVAgQJ6U1MVXOaj8PK2l7WJ3RER9xtqwdhxkhw/edit?usp=sharing"",""ระยอง!I488"")"),0.0)</f>
        <v>0</v>
      </c>
      <c r="J593" s="222">
        <f>IFERROR(__xludf.DUMMYFUNCTION("IMPORTRANGE(""https://docs.google.com/spreadsheets/d/1SX6NBoVAgQJ6U1MVXOaj8PK2l7WJ3RER9xtqwdhxkhw/edit?usp=sharing"",""ระยอง!J488"")"),0.0)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IFERROR(__xludf.DUMMYFUNCTION("IMPORTRANGE(""https://docs.google.com/spreadsheets/d/1SX6NBoVAgQJ6U1MVXOaj8PK2l7WJ3RER9xtqwdhxkhw/edit?usp=sharing"",""ระยอง!I489"")"),0.0)</f>
        <v>0</v>
      </c>
      <c r="J594" s="222">
        <f>IFERROR(__xludf.DUMMYFUNCTION("IMPORTRANGE(""https://docs.google.com/spreadsheets/d/1SX6NBoVAgQJ6U1MVXOaj8PK2l7WJ3RER9xtqwdhxkhw/edit?usp=sharing"",""ระยอง!J489"")"),0.0)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IFERROR(__xludf.DUMMYFUNCTION("IMPORTRANGE(""https://docs.google.com/spreadsheets/d/1SX6NBoVAgQJ6U1MVXOaj8PK2l7WJ3RER9xtqwdhxkhw/edit?usp=sharing"",""ระยอง!I490"")"),0.0)</f>
        <v>0</v>
      </c>
      <c r="J595" s="222">
        <f>IFERROR(__xludf.DUMMYFUNCTION("IMPORTRANGE(""https://docs.google.com/spreadsheets/d/1SX6NBoVAgQJ6U1MVXOaj8PK2l7WJ3RER9xtqwdhxkhw/edit?usp=sharing"",""ระยอง!J490"")"),0.0)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IFERROR(__xludf.DUMMYFUNCTION("IMPORTRANGE(""https://docs.google.com/spreadsheets/d/1SX6NBoVAgQJ6U1MVXOaj8PK2l7WJ3RER9xtqwdhxkhw/edit?usp=sharing"",""ระยอง!I491"")"),0.0)</f>
        <v>0</v>
      </c>
      <c r="J596" s="275">
        <f>IFERROR(__xludf.DUMMYFUNCTION("IMPORTRANGE(""https://docs.google.com/spreadsheets/d/1SX6NBoVAgQJ6U1MVXOaj8PK2l7WJ3RER9xtqwdhxkhw/edit?usp=sharing"",""ระยอง!J491"")"),0.0)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IFERROR(__xludf.DUMMYFUNCTION("IMPORTRANGE(""https://docs.google.com/spreadsheets/d/1SX6NBoVAgQJ6U1MVXOaj8PK2l7WJ3RER9xtqwdhxkhw/edit?usp=sharing"",""ระยอง!I492"")"),50.0)</f>
        <v>50</v>
      </c>
      <c r="J597" s="520">
        <f>IFERROR(__xludf.DUMMYFUNCTION("IMPORTRANGE(""https://docs.google.com/spreadsheets/d/1SX6NBoVAgQJ6U1MVXOaj8PK2l7WJ3RER9xtqwdhxkhw/edit?usp=sharing"",""ระยอง!J492"")"),0.0)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IFERROR(__xludf.DUMMYFUNCTION("IMPORTRANGE(""https://docs.google.com/spreadsheets/d/1SX6NBoVAgQJ6U1MVXOaj8PK2l7WJ3RER9xtqwdhxkhw/edit?usp=sharing"",""ระยอง!L492"")"),4550.0)</f>
        <v>4550</v>
      </c>
      <c r="M597" s="445"/>
      <c r="N597" s="445">
        <f>IFERROR(__xludf.DUMMYFUNCTION("IMPORTRANGE(""https://docs.google.com/spreadsheets/d/1SX6NBoVAgQJ6U1MVXOaj8PK2l7WJ3RER9xtqwdhxkhw/edit?usp=sharing"",""ระยอง!M492"")"),1300.0)</f>
        <v>1300</v>
      </c>
      <c r="O597" s="445">
        <f t="shared" ref="O597:O601" si="127">+IF(L597&gt;0,N597*100/L597,0)</f>
        <v>28.57142857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IFERROR(__xludf.DUMMYFUNCTION("IMPORTRANGE(""https://docs.google.com/spreadsheets/d/1SX6NBoVAgQJ6U1MVXOaj8PK2l7WJ3RER9xtqwdhxkhw/edit?usp=sharing"",""ระยอง!L493"")"),0.0)</f>
        <v>0</v>
      </c>
      <c r="M598" s="197"/>
      <c r="N598" s="203">
        <f>IFERROR(__xludf.DUMMYFUNCTION("IMPORTRANGE(""https://docs.google.com/spreadsheets/d/1SX6NBoVAgQJ6U1MVXOaj8PK2l7WJ3RER9xtqwdhxkhw/edit?usp=sharing"",""ระยอง!M493"")"),0.0)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IFERROR(__xludf.DUMMYFUNCTION("IMPORTRANGE(""https://docs.google.com/spreadsheets/d/1SX6NBoVAgQJ6U1MVXOaj8PK2l7WJ3RER9xtqwdhxkhw/edit?usp=sharing"",""ระยอง!L494"")"),4550.0)</f>
        <v>4550</v>
      </c>
      <c r="M599" s="198"/>
      <c r="N599" s="203">
        <f>IFERROR(__xludf.DUMMYFUNCTION("IMPORTRANGE(""https://docs.google.com/spreadsheets/d/1SX6NBoVAgQJ6U1MVXOaj8PK2l7WJ3RER9xtqwdhxkhw/edit?usp=sharing"",""ระยอง!M494"")"),1300.0)</f>
        <v>1300</v>
      </c>
      <c r="O599" s="203">
        <f t="shared" si="127"/>
        <v>28.57142857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IFERROR(__xludf.DUMMYFUNCTION("IMPORTRANGE(""https://docs.google.com/spreadsheets/d/1SX6NBoVAgQJ6U1MVXOaj8PK2l7WJ3RER9xtqwdhxkhw/edit?usp=sharing"",""ระยอง!L495"")"),0.0)</f>
        <v>0</v>
      </c>
      <c r="M600" s="203"/>
      <c r="N600" s="203">
        <f>IFERROR(__xludf.DUMMYFUNCTION("IMPORTRANGE(""https://docs.google.com/spreadsheets/d/1SX6NBoVAgQJ6U1MVXOaj8PK2l7WJ3RER9xtqwdhxkhw/edit?usp=sharing"",""ระยอง!M495"")"),0.0)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IFERROR(__xludf.DUMMYFUNCTION("IMPORTRANGE(""https://docs.google.com/spreadsheets/d/1SX6NBoVAgQJ6U1MVXOaj8PK2l7WJ3RER9xtqwdhxkhw/edit?usp=sharing"",""ระยอง!L496"")"),4550.0)</f>
        <v>4550</v>
      </c>
      <c r="M601" s="203"/>
      <c r="N601" s="203">
        <f>IFERROR(__xludf.DUMMYFUNCTION("IMPORTRANGE(""https://docs.google.com/spreadsheets/d/1SX6NBoVAgQJ6U1MVXOaj8PK2l7WJ3RER9xtqwdhxkhw/edit?usp=sharing"",""ระยอง!M496"")"),1300.0)</f>
        <v>1300</v>
      </c>
      <c r="O601" s="203">
        <f t="shared" si="127"/>
        <v>28.57142857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IFERROR(__xludf.DUMMYFUNCTION("IMPORTRANGE(""https://docs.google.com/spreadsheets/d/1SX6NBoVAgQJ6U1MVXOaj8PK2l7WJ3RER9xtqwdhxkhw/edit?usp=sharing"",""ระยอง!M497"")"),0.0)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IFERROR(__xludf.DUMMYFUNCTION("IMPORTRANGE(""https://docs.google.com/spreadsheets/d/1SX6NBoVAgQJ6U1MVXOaj8PK2l7WJ3RER9xtqwdhxkhw/edit?usp=sharing"",""ระยอง!M498"")"),0.0)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IFERROR(__xludf.DUMMYFUNCTION("IMPORTRANGE(""https://docs.google.com/spreadsheets/d/1SX6NBoVAgQJ6U1MVXOaj8PK2l7WJ3RER9xtqwdhxkhw/edit?usp=sharing"",""ระยอง!M499"")"),0.0)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IFERROR(__xludf.DUMMYFUNCTION("IMPORTRANGE(""https://docs.google.com/spreadsheets/d/1SX6NBoVAgQJ6U1MVXOaj8PK2l7WJ3RER9xtqwdhxkhw/edit?usp=sharing"",""ระยอง!M500"")"),1300.0)</f>
        <v>1300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IFERROR(__xludf.DUMMYFUNCTION("IMPORTRANGE(""https://docs.google.com/spreadsheets/d/1SX6NBoVAgQJ6U1MVXOaj8PK2l7WJ3RER9xtqwdhxkhw/edit?usp=sharing"",""ระยอง!J502"")"),0.0)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IFERROR(__xludf.DUMMYFUNCTION("IMPORTRANGE(""https://docs.google.com/spreadsheets/d/1SX6NBoVAgQJ6U1MVXOaj8PK2l7WJ3RER9xtqwdhxkhw/edit?usp=sharing"",""ระยอง!J503"")"),1.0)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IFERROR(__xludf.DUMMYFUNCTION("IMPORTRANGE(""https://docs.google.com/spreadsheets/d/1SX6NBoVAgQJ6U1MVXOaj8PK2l7WJ3RER9xtqwdhxkhw/edit?usp=sharing"",""ระยอง!J166"")"),0.0)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IFERROR(__xludf.DUMMYFUNCTION("IMPORTRANGE(""https://docs.google.com/spreadsheets/d/1SX6NBoVAgQJ6U1MVXOaj8PK2l7WJ3RER9xtqwdhxkhw/edit?usp=sharing"",""ระยอง!J166"")"),0.0)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IFERROR(__xludf.DUMMYFUNCTION("IMPORTRANGE(""https://docs.google.com/spreadsheets/d/1SX6NBoVAgQJ6U1MVXOaj8PK2l7WJ3RER9xtqwdhxkhw/edit?usp=sharing"",""ระยอง!I506"")"),50.0)</f>
        <v>50</v>
      </c>
      <c r="J611" s="195">
        <f>IFERROR(__xludf.DUMMYFUNCTION("IMPORTRANGE(""https://docs.google.com/spreadsheets/d/1SX6NBoVAgQJ6U1MVXOaj8PK2l7WJ3RER9xtqwdhxkhw/edit?usp=sharing"",""ระยอง!J506"")"),0.0)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IFERROR(__xludf.DUMMYFUNCTION("IMPORTRANGE(""https://docs.google.com/spreadsheets/d/1SX6NBoVAgQJ6U1MVXOaj8PK2l7WJ3RER9xtqwdhxkhw/edit?usp=sharing"",""ระยอง!I507"")"),0.0)</f>
        <v>0</v>
      </c>
      <c r="J612" s="232">
        <f>IFERROR(__xludf.DUMMYFUNCTION("IMPORTRANGE(""https://docs.google.com/spreadsheets/d/1SX6NBoVAgQJ6U1MVXOaj8PK2l7WJ3RER9xtqwdhxkhw/edit?usp=sharing"",""ระยอง!J507"")"),0.0)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IFERROR(__xludf.DUMMYFUNCTION("IMPORTRANGE(""https://docs.google.com/spreadsheets/d/1SX6NBoVAgQJ6U1MVXOaj8PK2l7WJ3RER9xtqwdhxkhw/edit?usp=sharing"",""ระยอง!I508"")"),0.0)</f>
        <v>0</v>
      </c>
      <c r="J613" s="232">
        <f>IFERROR(__xludf.DUMMYFUNCTION("IMPORTRANGE(""https://docs.google.com/spreadsheets/d/1SX6NBoVAgQJ6U1MVXOaj8PK2l7WJ3RER9xtqwdhxkhw/edit?usp=sharing"",""ระยอง!J508"")"),0.0)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IFERROR(__xludf.DUMMYFUNCTION("IMPORTRANGE(""https://docs.google.com/spreadsheets/d/1SX6NBoVAgQJ6U1MVXOaj8PK2l7WJ3RER9xtqwdhxkhw/edit?usp=sharing"",""ระยอง!I509"")"),0.0)</f>
        <v>0</v>
      </c>
      <c r="J614" s="232">
        <f>IFERROR(__xludf.DUMMYFUNCTION("IMPORTRANGE(""https://docs.google.com/spreadsheets/d/1SX6NBoVAgQJ6U1MVXOaj8PK2l7WJ3RER9xtqwdhxkhw/edit?usp=sharing"",""ระยอง!J509"")"),0.0)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IFERROR(__xludf.DUMMYFUNCTION("IMPORTRANGE(""https://docs.google.com/spreadsheets/d/1SX6NBoVAgQJ6U1MVXOaj8PK2l7WJ3RER9xtqwdhxkhw/edit?usp=sharing"",""ระยอง!I510"")"),0.0)</f>
        <v>0</v>
      </c>
      <c r="J615" s="232">
        <f>IFERROR(__xludf.DUMMYFUNCTION("IMPORTRANGE(""https://docs.google.com/spreadsheets/d/1SX6NBoVAgQJ6U1MVXOaj8PK2l7WJ3RER9xtqwdhxkhw/edit?usp=sharing"",""ระยอง!J510"")"),0.0)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IFERROR(__xludf.DUMMYFUNCTION("IMPORTRANGE(""https://docs.google.com/spreadsheets/d/1SX6NBoVAgQJ6U1MVXOaj8PK2l7WJ3RER9xtqwdhxkhw/edit?usp=sharing"",""ระยอง!I511"")"),0.0)</f>
        <v>0</v>
      </c>
      <c r="J616" s="232">
        <f>IFERROR(__xludf.DUMMYFUNCTION("IMPORTRANGE(""https://docs.google.com/spreadsheets/d/1SX6NBoVAgQJ6U1MVXOaj8PK2l7WJ3RER9xtqwdhxkhw/edit?usp=sharing"",""ระยอง!J511"")"),0.0)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IFERROR(__xludf.DUMMYFUNCTION("IMPORTRANGE(""https://docs.google.com/spreadsheets/d/1SX6NBoVAgQJ6U1MVXOaj8PK2l7WJ3RER9xtqwdhxkhw/edit?usp=sharing"",""ระยอง!I512"")"),0.0)</f>
        <v>0</v>
      </c>
      <c r="J617" s="222">
        <f>IFERROR(__xludf.DUMMYFUNCTION("IMPORTRANGE(""https://docs.google.com/spreadsheets/d/1SX6NBoVAgQJ6U1MVXOaj8PK2l7WJ3RER9xtqwdhxkhw/edit?usp=sharing"",""ระยอง!J512"")"),0.0)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IFERROR(__xludf.DUMMYFUNCTION("IMPORTRANGE(""https://docs.google.com/spreadsheets/d/1SX6NBoVAgQJ6U1MVXOaj8PK2l7WJ3RER9xtqwdhxkhw/edit?usp=sharing"",""ระยอง!I513"")"),0.0)</f>
        <v>0</v>
      </c>
      <c r="J618" s="223">
        <f>IFERROR(__xludf.DUMMYFUNCTION("IMPORTRANGE(""https://docs.google.com/spreadsheets/d/1SX6NBoVAgQJ6U1MVXOaj8PK2l7WJ3RER9xtqwdhxkhw/edit?usp=sharing"",""ระยอง!J513"")"),0.0)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IFERROR(__xludf.DUMMYFUNCTION("IMPORTRANGE(""https://docs.google.com/spreadsheets/d/1SX6NBoVAgQJ6U1MVXOaj8PK2l7WJ3RER9xtqwdhxkhw/edit?usp=sharing"",""ระยอง!I514"")"),0.0)</f>
        <v>0</v>
      </c>
      <c r="J619" s="223">
        <f>IFERROR(__xludf.DUMMYFUNCTION("IMPORTRANGE(""https://docs.google.com/spreadsheets/d/1SX6NBoVAgQJ6U1MVXOaj8PK2l7WJ3RER9xtqwdhxkhw/edit?usp=sharing"",""ระยอง!J514"")"),0.0)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IFERROR(__xludf.DUMMYFUNCTION("IMPORTRANGE(""https://docs.google.com/spreadsheets/d/1SX6NBoVAgQJ6U1MVXOaj8PK2l7WJ3RER9xtqwdhxkhw/edit?usp=sharing"",""ระยอง!I515"")"),0.0)</f>
        <v>0</v>
      </c>
      <c r="J620" s="237">
        <f>IFERROR(__xludf.DUMMYFUNCTION("IMPORTRANGE(""https://docs.google.com/spreadsheets/d/1SX6NBoVAgQJ6U1MVXOaj8PK2l7WJ3RER9xtqwdhxkhw/edit?usp=sharing"",""ระยอง!J515"")"),0.0)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IFERROR(__xludf.DUMMYFUNCTION("IMPORTRANGE(""https://docs.google.com/spreadsheets/d/1SX6NBoVAgQJ6U1MVXOaj8PK2l7WJ3RER9xtqwdhxkhw/edit?usp=sharing"",""ระยอง!I516"")"),0.0)</f>
        <v>0</v>
      </c>
      <c r="J621" s="237">
        <f>IFERROR(__xludf.DUMMYFUNCTION("IMPORTRANGE(""https://docs.google.com/spreadsheets/d/1SX6NBoVAgQJ6U1MVXOaj8PK2l7WJ3RER9xtqwdhxkhw/edit?usp=sharing"",""ระยอง!J516"")"),0.0)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IFERROR(__xludf.DUMMYFUNCTION("IMPORTRANGE(""https://docs.google.com/spreadsheets/d/1SX6NBoVAgQJ6U1MVXOaj8PK2l7WJ3RER9xtqwdhxkhw/edit?usp=sharing"",""ระยอง!I517"")"),0.0)</f>
        <v>0</v>
      </c>
      <c r="J622" s="223">
        <f>IFERROR(__xludf.DUMMYFUNCTION("IMPORTRANGE(""https://docs.google.com/spreadsheets/d/1SX6NBoVAgQJ6U1MVXOaj8PK2l7WJ3RER9xtqwdhxkhw/edit?usp=sharing"",""ระยอง!J517"")"),0.0)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IFERROR(__xludf.DUMMYFUNCTION("IMPORTRANGE(""https://docs.google.com/spreadsheets/d/1SX6NBoVAgQJ6U1MVXOaj8PK2l7WJ3RER9xtqwdhxkhw/edit?usp=sharing"",""ระยอง!I518"")"),0.0)</f>
        <v>0</v>
      </c>
      <c r="J623" s="223">
        <f>IFERROR(__xludf.DUMMYFUNCTION("IMPORTRANGE(""https://docs.google.com/spreadsheets/d/1SX6NBoVAgQJ6U1MVXOaj8PK2l7WJ3RER9xtqwdhxkhw/edit?usp=sharing"",""ระยอง!J518"")"),0.0)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IFERROR(__xludf.DUMMYFUNCTION("IMPORTRANGE(""https://docs.google.com/spreadsheets/d/1SX6NBoVAgQJ6U1MVXOaj8PK2l7WJ3RER9xtqwdhxkhw/edit?usp=sharing"",""ระยอง!I519"")"),0.0)</f>
        <v>0</v>
      </c>
      <c r="J624" s="222">
        <f>IFERROR(__xludf.DUMMYFUNCTION("IMPORTRANGE(""https://docs.google.com/spreadsheets/d/1SX6NBoVAgQJ6U1MVXOaj8PK2l7WJ3RER9xtqwdhxkhw/edit?usp=sharing"",""ระยอง!J519"")"),0.0)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IFERROR(__xludf.DUMMYFUNCTION("IMPORTRANGE(""https://docs.google.com/spreadsheets/d/1SX6NBoVAgQJ6U1MVXOaj8PK2l7WJ3RER9xtqwdhxkhw/edit?usp=sharing"",""ระยอง!I520"")"),0.0)</f>
        <v>0</v>
      </c>
      <c r="J625" s="223">
        <f>IFERROR(__xludf.DUMMYFUNCTION("IMPORTRANGE(""https://docs.google.com/spreadsheets/d/1SX6NBoVAgQJ6U1MVXOaj8PK2l7WJ3RER9xtqwdhxkhw/edit?usp=sharing"",""ระยอง!J520"")"),0.0)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IFERROR(__xludf.DUMMYFUNCTION("IMPORTRANGE(""https://docs.google.com/spreadsheets/d/1SX6NBoVAgQJ6U1MVXOaj8PK2l7WJ3RER9xtqwdhxkhw/edit?usp=sharing"",""ระยอง!I521"")"),0.0)</f>
        <v>0</v>
      </c>
      <c r="J626" s="223">
        <f>IFERROR(__xludf.DUMMYFUNCTION("IMPORTRANGE(""https://docs.google.com/spreadsheets/d/1SX6NBoVAgQJ6U1MVXOaj8PK2l7WJ3RER9xtqwdhxkhw/edit?usp=sharing"",""ระยอง!J521"")"),0.0)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IFERROR(__xludf.DUMMYFUNCTION("IMPORTRANGE(""https://docs.google.com/spreadsheets/d/1SX6NBoVAgQJ6U1MVXOaj8PK2l7WJ3RER9xtqwdhxkhw/edit?usp=sharing"",""ระยอง!I523"")"),2198052.65)</f>
        <v>2198052.65</v>
      </c>
      <c r="J628" s="374">
        <f>IFERROR(__xludf.DUMMYFUNCTION("IMPORTRANGE(""https://docs.google.com/spreadsheets/d/1SX6NBoVAgQJ6U1MVXOaj8PK2l7WJ3RER9xtqwdhxkhw/edit?usp=sharing"",""ระยอง!J523"")"),117027.47)</f>
        <v>117027.47</v>
      </c>
      <c r="K628" s="375">
        <f t="shared" ref="K628:K635" si="130">IF(I628&gt;0,J628*100/I628,0)</f>
        <v>5.324143168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IFERROR(__xludf.DUMMYFUNCTION("IMPORTRANGE(""https://docs.google.com/spreadsheets/d/1SX6NBoVAgQJ6U1MVXOaj8PK2l7WJ3RER9xtqwdhxkhw/edit?usp=sharing"",""ระยอง!I524"")"),144.0)</f>
        <v>144</v>
      </c>
      <c r="J629" s="374">
        <f>IFERROR(__xludf.DUMMYFUNCTION("IMPORTRANGE(""https://docs.google.com/spreadsheets/d/1SX6NBoVAgQJ6U1MVXOaj8PK2l7WJ3RER9xtqwdhxkhw/edit?usp=sharing"",""ระยอง!J524"")"),8.0)</f>
        <v>8</v>
      </c>
      <c r="K629" s="375">
        <f t="shared" si="130"/>
        <v>5.555555556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IFERROR(__xludf.DUMMYFUNCTION("IMPORTRANGE(""https://docs.google.com/spreadsheets/d/1SX6NBoVAgQJ6U1MVXOaj8PK2l7WJ3RER9xtqwdhxkhw/edit?usp=sharing"",""ระยอง!I525"")"),1625986.59)</f>
        <v>1625986.59</v>
      </c>
      <c r="J630" s="374">
        <f>IFERROR(__xludf.DUMMYFUNCTION("IMPORTRANGE(""https://docs.google.com/spreadsheets/d/1SX6NBoVAgQJ6U1MVXOaj8PK2l7WJ3RER9xtqwdhxkhw/edit?usp=sharing"",""ระยอง!J525"")"),124332.17)</f>
        <v>124332.17</v>
      </c>
      <c r="K630" s="375">
        <f t="shared" si="130"/>
        <v>7.646567983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IFERROR(__xludf.DUMMYFUNCTION("IMPORTRANGE(""https://docs.google.com/spreadsheets/d/1SX6NBoVAgQJ6U1MVXOaj8PK2l7WJ3RER9xtqwdhxkhw/edit?usp=sharing"",""ระยอง!I526"")"),52.0)</f>
        <v>52</v>
      </c>
      <c r="J631" s="374">
        <f>IFERROR(__xludf.DUMMYFUNCTION("IMPORTRANGE(""https://docs.google.com/spreadsheets/d/1SX6NBoVAgQJ6U1MVXOaj8PK2l7WJ3RER9xtqwdhxkhw/edit?usp=sharing"",""ระยอง!J526"")"),18.0)</f>
        <v>18</v>
      </c>
      <c r="K631" s="375">
        <f t="shared" si="130"/>
        <v>34.61538462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IFERROR(__xludf.DUMMYFUNCTION("IMPORTRANGE(""https://docs.google.com/spreadsheets/d/1SX6NBoVAgQJ6U1MVXOaj8PK2l7WJ3RER9xtqwdhxkhw/edit?usp=sharing"",""ระยอง!I527"")"),0.0)</f>
        <v>0</v>
      </c>
      <c r="J632" s="374">
        <f>IFERROR(__xludf.DUMMYFUNCTION("IMPORTRANGE(""https://docs.google.com/spreadsheets/d/1SX6NBoVAgQJ6U1MVXOaj8PK2l7WJ3RER9xtqwdhxkhw/edit?usp=sharing"",""ระยอง!J527"")"),0.0)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IFERROR(__xludf.DUMMYFUNCTION("IMPORTRANGE(""https://docs.google.com/spreadsheets/d/1SX6NBoVAgQJ6U1MVXOaj8PK2l7WJ3RER9xtqwdhxkhw/edit?usp=sharing"",""ระยอง!I528"")"),0.0)</f>
        <v>0</v>
      </c>
      <c r="J633" s="374">
        <f>IFERROR(__xludf.DUMMYFUNCTION("IMPORTRANGE(""https://docs.google.com/spreadsheets/d/1SX6NBoVAgQJ6U1MVXOaj8PK2l7WJ3RER9xtqwdhxkhw/edit?usp=sharing"",""ระยอง!J528"")"),0.0)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IFERROR(__xludf.DUMMYFUNCTION("IMPORTRANGE(""https://docs.google.com/spreadsheets/d/1SX6NBoVAgQJ6U1MVXOaj8PK2l7WJ3RER9xtqwdhxkhw/edit?usp=sharing"",""ระยอง!I529"")"),1450000.0)</f>
        <v>1450000</v>
      </c>
      <c r="J634" s="374">
        <f>IFERROR(__xludf.DUMMYFUNCTION("IMPORTRANGE(""https://docs.google.com/spreadsheets/d/1SX6NBoVAgQJ6U1MVXOaj8PK2l7WJ3RER9xtqwdhxkhw/edit?usp=sharing"",""ระยอง!J529"")"),0.0)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IFERROR(__xludf.DUMMYFUNCTION("IMPORTRANGE(""https://docs.google.com/spreadsheets/d/1SX6NBoVAgQJ6U1MVXOaj8PK2l7WJ3RER9xtqwdhxkhw/edit?usp=sharing"",""ระยอง!I530"")"),29.0)</f>
        <v>29</v>
      </c>
      <c r="J635" s="544">
        <f>IFERROR(__xludf.DUMMYFUNCTION("IMPORTRANGE(""https://docs.google.com/spreadsheets/d/1SX6NBoVAgQJ6U1MVXOaj8PK2l7WJ3RER9xtqwdhxkhw/edit?usp=sharing"",""ระยอง!J530"")"),0.0)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267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3765337</v>
      </c>
      <c r="M8" s="41">
        <f t="shared" si="1"/>
        <v>1060355</v>
      </c>
      <c r="N8" s="41">
        <f t="shared" si="1"/>
        <v>1014651.947</v>
      </c>
      <c r="O8" s="40">
        <f t="shared" ref="O8:O16" si="3">IF(L8&gt;0,N8*100/L8,0)</f>
        <v>26.9471749</v>
      </c>
      <c r="P8" s="40">
        <f t="shared" ref="P8:P16" si="4">IF(M8&gt;0,N8*100/M8,0)</f>
        <v>95.68983473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3765337</v>
      </c>
      <c r="M10" s="48">
        <f t="shared" si="5"/>
        <v>1060355</v>
      </c>
      <c r="N10" s="48">
        <f t="shared" si="5"/>
        <v>1014651.947</v>
      </c>
      <c r="O10" s="47">
        <f t="shared" si="3"/>
        <v>26.9471749</v>
      </c>
      <c r="P10" s="47">
        <f t="shared" si="4"/>
        <v>95.68983473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3546037</v>
      </c>
      <c r="M12" s="58">
        <f t="shared" si="7"/>
        <v>1060355</v>
      </c>
      <c r="N12" s="58">
        <f t="shared" si="7"/>
        <v>980151.947</v>
      </c>
      <c r="O12" s="58">
        <f t="shared" si="3"/>
        <v>27.64077044</v>
      </c>
      <c r="P12" s="58">
        <f t="shared" si="4"/>
        <v>92.4362074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1326800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2219237</v>
      </c>
      <c r="M14" s="58">
        <f t="shared" si="9"/>
        <v>0</v>
      </c>
      <c r="N14" s="58">
        <f t="shared" si="9"/>
        <v>249276.947</v>
      </c>
      <c r="O14" s="61">
        <f t="shared" si="3"/>
        <v>11.23255186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219300</v>
      </c>
      <c r="M16" s="58">
        <f t="shared" si="11"/>
        <v>0</v>
      </c>
      <c r="N16" s="58">
        <f t="shared" si="11"/>
        <v>34500</v>
      </c>
      <c r="O16" s="70">
        <f t="shared" si="3"/>
        <v>15.73187415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2170205</v>
      </c>
      <c r="M18" s="41">
        <f t="shared" si="12"/>
        <v>1060355</v>
      </c>
      <c r="N18" s="41">
        <f t="shared" si="12"/>
        <v>765375</v>
      </c>
      <c r="O18" s="40">
        <f t="shared" ref="O18:O20" si="14">IF(L18&gt;0,N18*100/L18,0)</f>
        <v>35.26740561</v>
      </c>
      <c r="P18" s="40">
        <f t="shared" ref="P18:P26" si="15">IF(M18&gt;0,N18*100/M18,0)</f>
        <v>72.18101485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2170205</v>
      </c>
      <c r="M20" s="48">
        <f t="shared" si="16"/>
        <v>1060355</v>
      </c>
      <c r="N20" s="48">
        <f t="shared" si="16"/>
        <v>765375</v>
      </c>
      <c r="O20" s="47">
        <f t="shared" si="14"/>
        <v>35.26740561</v>
      </c>
      <c r="P20" s="47">
        <f t="shared" si="15"/>
        <v>72.18101485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1950905</v>
      </c>
      <c r="M22" s="62">
        <f t="shared" si="18"/>
        <v>1060355</v>
      </c>
      <c r="N22" s="61">
        <f t="shared" si="18"/>
        <v>730875</v>
      </c>
      <c r="O22" s="61">
        <f t="shared" si="19"/>
        <v>37.46338238</v>
      </c>
      <c r="P22" s="61">
        <f t="shared" si="15"/>
        <v>68.92738753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1326800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624105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219300</v>
      </c>
      <c r="M26" s="70">
        <f t="shared" si="23"/>
        <v>0</v>
      </c>
      <c r="N26" s="70">
        <f t="shared" si="23"/>
        <v>34500</v>
      </c>
      <c r="O26" s="70">
        <f t="shared" si="19"/>
        <v>15.73187415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1595132</v>
      </c>
      <c r="M28" s="41">
        <f t="shared" si="24"/>
        <v>0</v>
      </c>
      <c r="N28" s="41">
        <f t="shared" si="24"/>
        <v>249276.947</v>
      </c>
      <c r="O28" s="40">
        <f t="shared" ref="O28:O30" si="26">IF(L28&gt;0,N28*100/L28,0)</f>
        <v>15.62735542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1595132</v>
      </c>
      <c r="M30" s="48">
        <f t="shared" si="28"/>
        <v>0</v>
      </c>
      <c r="N30" s="48">
        <f t="shared" si="28"/>
        <v>249276.947</v>
      </c>
      <c r="O30" s="47">
        <f t="shared" si="26"/>
        <v>15.62735542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1595132</v>
      </c>
      <c r="M32" s="61">
        <f t="shared" si="30"/>
        <v>0</v>
      </c>
      <c r="N32" s="61">
        <f t="shared" si="30"/>
        <v>249276.947</v>
      </c>
      <c r="O32" s="61">
        <f t="shared" si="31"/>
        <v>15.62735542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1595132</v>
      </c>
      <c r="M34" s="61">
        <f t="shared" si="33"/>
        <v>0</v>
      </c>
      <c r="N34" s="61">
        <f t="shared" si="33"/>
        <v>249276.947</v>
      </c>
      <c r="O34" s="61">
        <f t="shared" si="31"/>
        <v>15.62735542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2170205</v>
      </c>
      <c r="M37" s="75">
        <f t="shared" si="34"/>
        <v>1060355</v>
      </c>
      <c r="N37" s="75">
        <f t="shared" si="34"/>
        <v>765375</v>
      </c>
      <c r="O37" s="76">
        <f t="shared" si="31"/>
        <v>35.26740561</v>
      </c>
      <c r="P37" s="76">
        <f t="shared" si="27"/>
        <v>72.18101485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330800</v>
      </c>
      <c r="M41" s="102">
        <f t="shared" si="35"/>
        <v>165400</v>
      </c>
      <c r="N41" s="102">
        <f t="shared" si="35"/>
        <v>127634</v>
      </c>
      <c r="O41" s="101">
        <f t="shared" ref="O41:O43" si="37">IF(L41&gt;0,N41*100/L41,0)</f>
        <v>38.5834341</v>
      </c>
      <c r="P41" s="101">
        <f t="shared" ref="P41:P43" si="38">IF(M41&gt;0,N41*100/M41,0)</f>
        <v>77.1668682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330800</v>
      </c>
      <c r="M43" s="102">
        <f t="shared" si="39"/>
        <v>165400</v>
      </c>
      <c r="N43" s="102">
        <f t="shared" si="39"/>
        <v>127634</v>
      </c>
      <c r="O43" s="101">
        <f t="shared" si="37"/>
        <v>38.5834341</v>
      </c>
      <c r="P43" s="101">
        <f t="shared" si="38"/>
        <v>77.1668682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330800</v>
      </c>
      <c r="M45" s="70">
        <f>IFERROR(__xludf.DUMMYFUNCTION("IMPORTRANGE(""https://docs.google.com/spreadsheets/d/1Yj_ptqi66GCucihVvJfMjLAmec39IyEx_6qawtMGysU/edit?usp=sharing"",""สบก!Q73"")"),165400.0)</f>
        <v>165400</v>
      </c>
      <c r="N45" s="70">
        <f>IFERROR(__xludf.DUMMYFUNCTION("IMPORTRANGE(""https://docs.google.com/spreadsheets/d/1Yj_ptqi66GCucihVvJfMjLAmec39IyEx_6qawtMGysU/edit?usp=sharing"",""สบก!R73"")"),127634.0)</f>
        <v>127634</v>
      </c>
      <c r="O45" s="61">
        <f>IF(L45&gt;0,N45*100/L45,0)</f>
        <v>38.5834341</v>
      </c>
      <c r="P45" s="61">
        <f>IF(M45&gt;0,N45*100/M45,0)</f>
        <v>77.1668682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IFERROR(__xludf.DUMMYFUNCTION("IMPORTRANGE(""https://docs.google.com/spreadsheets/d/1Yj_ptqi66GCucihVvJfMjLAmec39IyEx_6qawtMGysU/edit?usp=sharing"",""สบก!M73"")"),330800.0)</f>
        <v>330800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IFERROR(__xludf.DUMMYFUNCTION("IMPORTRANGE(""https://docs.google.com/spreadsheets/d/1Yj_ptqi66GCucihVvJfMjLAmec39IyEx_6qawtMGysU/edit?usp=sharing"",""สบก!N73"")"),0.0)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IFERROR(__xludf.DUMMYFUNCTION("IMPORTRANGE(""https://docs.google.com/spreadsheets/d/1Yj_ptqi66GCucihVvJfMjLAmec39IyEx_6qawtMGysU/edit?usp=sharing"",""สบก!O73"")"),0.0)</f>
        <v>0</v>
      </c>
      <c r="M49" s="70"/>
      <c r="N49" s="70">
        <f>IFERROR(__xludf.DUMMYFUNCTION("IMPORTRANGE(""https://docs.google.com/spreadsheets/d/1Yj_ptqi66GCucihVvJfMjLAmec39IyEx_6qawtMGysU/edit?usp=sharing"",""สบก!S73"")"),0.0)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300000</v>
      </c>
      <c r="M53" s="151">
        <f t="shared" si="40"/>
        <v>159000</v>
      </c>
      <c r="N53" s="151">
        <f t="shared" si="40"/>
        <v>122913</v>
      </c>
      <c r="O53" s="150">
        <f t="shared" ref="O53:O55" si="42">IF(L53&gt;0,N53*100/L53,0)</f>
        <v>40.971</v>
      </c>
      <c r="P53" s="150">
        <f t="shared" ref="P53:P55" si="43">IF(M53&gt;0,N53*100/M53,0)</f>
        <v>77.30377358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300000</v>
      </c>
      <c r="M55" s="151">
        <f t="shared" si="44"/>
        <v>159000</v>
      </c>
      <c r="N55" s="151">
        <f t="shared" si="44"/>
        <v>122913</v>
      </c>
      <c r="O55" s="150">
        <f t="shared" si="42"/>
        <v>40.971</v>
      </c>
      <c r="P55" s="150">
        <f t="shared" si="43"/>
        <v>77.30377358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300000</v>
      </c>
      <c r="M57" s="70">
        <f>IFERROR(__xludf.DUMMYFUNCTION("IMPORTRANGE(""https://docs.google.com/spreadsheets/d/1Yj_ptqi66GCucihVvJfMjLAmec39IyEx_6qawtMGysU/edit?usp=sharing"",""สบก!Z73"")"),159000.0)</f>
        <v>159000</v>
      </c>
      <c r="N57" s="70">
        <f>IFERROR(__xludf.DUMMYFUNCTION("IMPORTRANGE(""https://docs.google.com/spreadsheets/d/1Yj_ptqi66GCucihVvJfMjLAmec39IyEx_6qawtMGysU/edit?usp=sharing"",""สบก!AA73"")"),122913.0)</f>
        <v>122913</v>
      </c>
      <c r="O57" s="61">
        <f>IF(L57&gt;0,N57*100/L57,0)</f>
        <v>40.971</v>
      </c>
      <c r="P57" s="61">
        <f>IF(M57&gt;0,N57*100/M57,0)</f>
        <v>77.30377358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IFERROR(__xludf.DUMMYFUNCTION("IMPORTRANGE(""https://docs.google.com/spreadsheets/d/1Yj_ptqi66GCucihVvJfMjLAmec39IyEx_6qawtMGysU/edit?usp=sharing"",""สบก!V73"")"),300000.0)</f>
        <v>300000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IFERROR(__xludf.DUMMYFUNCTION("IMPORTRANGE(""https://docs.google.com/spreadsheets/d/1Yj_ptqi66GCucihVvJfMjLAmec39IyEx_6qawtMGysU/edit?usp=sharing"",""สบก!W73"")"),0.0)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IFERROR(__xludf.DUMMYFUNCTION("IMPORTRANGE(""https://docs.google.com/spreadsheets/d/1Yj_ptqi66GCucihVvJfMjLAmec39IyEx_6qawtMGysU/edit?usp=sharing"",""สบก!X73"")"),0.0)</f>
        <v>0</v>
      </c>
      <c r="M61" s="70"/>
      <c r="N61" s="70">
        <f>IFERROR(__xludf.DUMMYFUNCTION("IMPORTRANGE(""https://docs.google.com/spreadsheets/d/1Yj_ptqi66GCucihVvJfMjLAmec39IyEx_6qawtMGysU/edit?usp=sharing"",""สบก!AB73"")"),0.0)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IFERROR(__xludf.DUMMYFUNCTION("IMPORTRANGE(""https://docs.google.com/spreadsheets/d/1SX6NBoVAgQJ6U1MVXOaj8PK2l7WJ3RER9xtqwdhxkhw/edit?usp=sharing"",""ราชบุรี!I9"")"),0.0)</f>
        <v>0</v>
      </c>
      <c r="J64" s="172">
        <f>IFERROR(__xludf.DUMMYFUNCTION("IMPORTRANGE(""https://docs.google.com/spreadsheets/d/1SX6NBoVAgQJ6U1MVXOaj8PK2l7WJ3RER9xtqwdhxkhw/edit?usp=sharing"",""ราชบุรี!J9"")"),0.0)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IFERROR(__xludf.DUMMYFUNCTION("IMPORTRANGE(""https://docs.google.com/spreadsheets/d/1SX6NBoVAgQJ6U1MVXOaj8PK2l7WJ3RER9xtqwdhxkhw/edit?usp=sharing"",""ราชบุรี!I10"")"),0.0)</f>
        <v>0</v>
      </c>
      <c r="J65" s="172">
        <f>IFERROR(__xludf.DUMMYFUNCTION("IMPORTRANGE(""https://docs.google.com/spreadsheets/d/1SX6NBoVAgQJ6U1MVXOaj8PK2l7WJ3RER9xtqwdhxkhw/edit?usp=sharing"",""ราชบุรี!J10"")"),0.0)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IFERROR(__xludf.DUMMYFUNCTION("IMPORTRANGE(""https://docs.google.com/spreadsheets/d/1Yj_ptqi66GCucihVvJfMjLAmec39IyEx_6qawtMGysU/edit?usp=sharing"",""สบก!AI73"")"),0.0)</f>
        <v>0</v>
      </c>
      <c r="N70" s="203">
        <f>IFERROR(__xludf.DUMMYFUNCTION("IMPORTRANGE(""https://docs.google.com/spreadsheets/d/1Yj_ptqi66GCucihVvJfMjLAmec39IyEx_6qawtMGysU/edit?usp=sharing"",""สบก!AJ73"")"),0.0)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IFERROR(__xludf.DUMMYFUNCTION("IMPORTRANGE(""https://docs.google.com/spreadsheets/d/1Yj_ptqi66GCucihVvJfMjLAmec39IyEx_6qawtMGysU/edit?usp=sharing"",""สบก!AE73"")"),0.0)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IFERROR(__xludf.DUMMYFUNCTION("IMPORTRANGE(""https://docs.google.com/spreadsheets/d/1Yj_ptqi66GCucihVvJfMjLAmec39IyEx_6qawtMGysU/edit?usp=sharing"",""สบก!AF73"")"),0.0)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IFERROR(__xludf.DUMMYFUNCTION("IMPORTRANGE(""https://docs.google.com/spreadsheets/d/1Yj_ptqi66GCucihVvJfMjLAmec39IyEx_6qawtMGysU/edit?usp=sharing"",""สบก!AG73"")"),0.0)</f>
        <v>0</v>
      </c>
      <c r="M74" s="70"/>
      <c r="N74" s="70">
        <f>IFERROR(__xludf.DUMMYFUNCTION("IMPORTRANGE(""https://docs.google.com/spreadsheets/d/1Yj_ptqi66GCucihVvJfMjLAmec39IyEx_6qawtMGysU/edit?usp=sharing"",""สบก!AK73"")"),0.0)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IFERROR(__xludf.DUMMYFUNCTION("IMPORTRANGE(""https://docs.google.com/spreadsheets/d/1SX6NBoVAgQJ6U1MVXOaj8PK2l7WJ3RER9xtqwdhxkhw/edit?usp=sharing"",""ราชบุรี!J16"")"),0.0)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IFERROR(__xludf.DUMMYFUNCTION("IMPORTRANGE(""https://docs.google.com/spreadsheets/d/1SX6NBoVAgQJ6U1MVXOaj8PK2l7WJ3RER9xtqwdhxkhw/edit?usp=sharing"",""ราชบุรี!J17"")"),0.0)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IFERROR(__xludf.DUMMYFUNCTION("IMPORTRANGE(""https://docs.google.com/spreadsheets/d/1SX6NBoVAgQJ6U1MVXOaj8PK2l7WJ3RER9xtqwdhxkhw/edit?usp=sharing"",""ราชบุรี!J18"")"),0.0)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IFERROR(__xludf.DUMMYFUNCTION("IMPORTRANGE(""https://docs.google.com/spreadsheets/d/1SX6NBoVAgQJ6U1MVXOaj8PK2l7WJ3RER9xtqwdhxkhw/edit?usp=sharing"",""ราชบุรี!J19"")"),0.0)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IFERROR(__xludf.DUMMYFUNCTION("IMPORTRANGE(""https://docs.google.com/spreadsheets/d/1SX6NBoVAgQJ6U1MVXOaj8PK2l7WJ3RER9xtqwdhxkhw/edit?usp=sharing"",""ราชบุรี!I20"")"),0.0)</f>
        <v>0</v>
      </c>
      <c r="J80" s="235">
        <f>IFERROR(__xludf.DUMMYFUNCTION("IMPORTRANGE(""https://docs.google.com/spreadsheets/d/1SX6NBoVAgQJ6U1MVXOaj8PK2l7WJ3RER9xtqwdhxkhw/edit?usp=sharing"",""ราชบุรี!J20"")"),0.0)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IFERROR(__xludf.DUMMYFUNCTION("IMPORTRANGE(""https://docs.google.com/spreadsheets/d/1SX6NBoVAgQJ6U1MVXOaj8PK2l7WJ3RER9xtqwdhxkhw/edit?usp=sharing"",""ราชบุรี!I21"")"),0.0)</f>
        <v>0</v>
      </c>
      <c r="J81" s="235">
        <f>IFERROR(__xludf.DUMMYFUNCTION("IMPORTRANGE(""https://docs.google.com/spreadsheets/d/1SX6NBoVAgQJ6U1MVXOaj8PK2l7WJ3RER9xtqwdhxkhw/edit?usp=sharing"",""ราชบุรี!J21"")"),0.0)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IFERROR(__xludf.DUMMYFUNCTION("IMPORTRANGE(""https://docs.google.com/spreadsheets/d/1SX6NBoVAgQJ6U1MVXOaj8PK2l7WJ3RER9xtqwdhxkhw/edit?usp=sharing"",""ราชบุรี!I22"")"),0.0)</f>
        <v>0</v>
      </c>
      <c r="J82" s="238">
        <f>IFERROR(__xludf.DUMMYFUNCTION("IMPORTRANGE(""https://docs.google.com/spreadsheets/d/1SX6NBoVAgQJ6U1MVXOaj8PK2l7WJ3RER9xtqwdhxkhw/edit?usp=sharing"",""ราชบุรี!J22"")"),0.0)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IFERROR(__xludf.DUMMYFUNCTION("IMPORTRANGE(""https://docs.google.com/spreadsheets/d/1SX6NBoVAgQJ6U1MVXOaj8PK2l7WJ3RER9xtqwdhxkhw/edit?usp=sharing"",""ราชบุรี!I23"")"),0.0)</f>
        <v>0</v>
      </c>
      <c r="J83" s="238">
        <f>IFERROR(__xludf.DUMMYFUNCTION("IMPORTRANGE(""https://docs.google.com/spreadsheets/d/1SX6NBoVAgQJ6U1MVXOaj8PK2l7WJ3RER9xtqwdhxkhw/edit?usp=sharing"",""ราชบุรี!J23"")"),0.0)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IFERROR(__xludf.DUMMYFUNCTION("IMPORTRANGE(""https://docs.google.com/spreadsheets/d/1SX6NBoVAgQJ6U1MVXOaj8PK2l7WJ3RER9xtqwdhxkhw/edit?usp=sharing"",""ราชบุรี!I24"")"),0.0)</f>
        <v>0</v>
      </c>
      <c r="J84" s="223">
        <f>IFERROR(__xludf.DUMMYFUNCTION("IMPORTRANGE(""https://docs.google.com/spreadsheets/d/1SX6NBoVAgQJ6U1MVXOaj8PK2l7WJ3RER9xtqwdhxkhw/edit?usp=sharing"",""ราชบุรี!J24"")"),0.0)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IFERROR(__xludf.DUMMYFUNCTION("IMPORTRANGE(""https://docs.google.com/spreadsheets/d/1SX6NBoVAgQJ6U1MVXOaj8PK2l7WJ3RER9xtqwdhxkhw/edit?usp=sharing"",""ราชบุรี!I25"")"),0.0)</f>
        <v>0</v>
      </c>
      <c r="J85" s="223">
        <f>IFERROR(__xludf.DUMMYFUNCTION("IMPORTRANGE(""https://docs.google.com/spreadsheets/d/1SX6NBoVAgQJ6U1MVXOaj8PK2l7WJ3RER9xtqwdhxkhw/edit?usp=sharing"",""ราชบุรี!J25"")"),0.0)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IFERROR(__xludf.DUMMYFUNCTION("IMPORTRANGE(""https://docs.google.com/spreadsheets/d/1SX6NBoVAgQJ6U1MVXOaj8PK2l7WJ3RER9xtqwdhxkhw/edit?usp=sharing"",""ราชบุรี!I26"")"),0.0)</f>
        <v>0</v>
      </c>
      <c r="J86" s="238">
        <f>IFERROR(__xludf.DUMMYFUNCTION("IMPORTRANGE(""https://docs.google.com/spreadsheets/d/1SX6NBoVAgQJ6U1MVXOaj8PK2l7WJ3RER9xtqwdhxkhw/edit?usp=sharing"",""ราชบุรี!J26"")"),0.0)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IFERROR(__xludf.DUMMYFUNCTION("IMPORTRANGE(""https://docs.google.com/spreadsheets/d/1SX6NBoVAgQJ6U1MVXOaj8PK2l7WJ3RER9xtqwdhxkhw/edit?usp=sharing"",""ราชบุรี!I27"")"),0.0)</f>
        <v>0</v>
      </c>
      <c r="J87" s="238">
        <f>IFERROR(__xludf.DUMMYFUNCTION("IMPORTRANGE(""https://docs.google.com/spreadsheets/d/1SX6NBoVAgQJ6U1MVXOaj8PK2l7WJ3RER9xtqwdhxkhw/edit?usp=sharing"",""ราชบุรี!J27"")"),0.0)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IFERROR(__xludf.DUMMYFUNCTION("IMPORTRANGE(""https://docs.google.com/spreadsheets/d/1SX6NBoVAgQJ6U1MVXOaj8PK2l7WJ3RER9xtqwdhxkhw/edit?usp=sharing"",""ราชบุรี!I28"")"),0.0)</f>
        <v>0</v>
      </c>
      <c r="J88" s="238">
        <f>IFERROR(__xludf.DUMMYFUNCTION("IMPORTRANGE(""https://docs.google.com/spreadsheets/d/1SX6NBoVAgQJ6U1MVXOaj8PK2l7WJ3RER9xtqwdhxkhw/edit?usp=sharing"",""ราชบุรี!J28"")"),0.0)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IFERROR(__xludf.DUMMYFUNCTION("IMPORTRANGE(""https://docs.google.com/spreadsheets/d/1SX6NBoVAgQJ6U1MVXOaj8PK2l7WJ3RER9xtqwdhxkhw/edit?usp=sharing"",""ราชบุรี!J29"")"),0.0)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IFERROR(__xludf.DUMMYFUNCTION("IMPORTRANGE(""https://docs.google.com/spreadsheets/d/1SX6NBoVAgQJ6U1MVXOaj8PK2l7WJ3RER9xtqwdhxkhw/edit?usp=sharing"",""ราชบุรี!J30"")"),0.0)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IFERROR(__xludf.DUMMYFUNCTION("IMPORTRANGE(""https://docs.google.com/spreadsheets/d/1SX6NBoVAgQJ6U1MVXOaj8PK2l7WJ3RER9xtqwdhxkhw/edit?usp=sharing"",""ราชบุรี!I32"")"),6.0)</f>
        <v>6</v>
      </c>
      <c r="J92" s="172">
        <f>IFERROR(__xludf.DUMMYFUNCTION("IMPORTRANGE(""https://docs.google.com/spreadsheets/d/1SX6NBoVAgQJ6U1MVXOaj8PK2l7WJ3RER9xtqwdhxkhw/edit?usp=sharing"",""ราชบุรี!J32"")"),6.0)</f>
        <v>6</v>
      </c>
      <c r="K92" s="173">
        <f t="shared" ref="K92:K93" si="52">IF(I92&gt;0,J92*100/I92,0)</f>
        <v>100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IFERROR(__xludf.DUMMYFUNCTION("IMPORTRANGE(""https://docs.google.com/spreadsheets/d/1SX6NBoVAgQJ6U1MVXOaj8PK2l7WJ3RER9xtqwdhxkhw/edit?usp=sharing"",""ราชบุรี!I33"")"),2.0)</f>
        <v>2</v>
      </c>
      <c r="J93" s="172">
        <f>IFERROR(__xludf.DUMMYFUNCTION("IMPORTRANGE(""https://docs.google.com/spreadsheets/d/1SX6NBoVAgQJ6U1MVXOaj8PK2l7WJ3RER9xtqwdhxkhw/edit?usp=sharing"",""ราชบุรี!J33"")"),0.0)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316780</v>
      </c>
      <c r="M94" s="183">
        <f t="shared" si="53"/>
        <v>77770</v>
      </c>
      <c r="N94" s="183">
        <f t="shared" si="53"/>
        <v>40490</v>
      </c>
      <c r="O94" s="182">
        <f t="shared" ref="O94:O96" si="55">IF(L94&gt;0,N94*100/L94,0)</f>
        <v>12.78174127</v>
      </c>
      <c r="P94" s="182">
        <f t="shared" ref="P94:P96" si="56">IF(M94&gt;0,N94*100/M94,0)</f>
        <v>52.06377781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316780</v>
      </c>
      <c r="M96" s="188">
        <f t="shared" si="57"/>
        <v>77770</v>
      </c>
      <c r="N96" s="188">
        <f t="shared" si="57"/>
        <v>40490</v>
      </c>
      <c r="O96" s="187">
        <f t="shared" si="55"/>
        <v>12.78174127</v>
      </c>
      <c r="P96" s="187">
        <f t="shared" si="56"/>
        <v>52.06377781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131980</v>
      </c>
      <c r="M98" s="200">
        <f>IFERROR(__xludf.DUMMYFUNCTION("IMPORTRANGE(""https://docs.google.com/spreadsheets/d/1Yj_ptqi66GCucihVvJfMjLAmec39IyEx_6qawtMGysU/edit?usp=sharing"",""สบก!AR73"")"),77770.0)</f>
        <v>77770</v>
      </c>
      <c r="N98" s="203">
        <f>IFERROR(__xludf.DUMMYFUNCTION("IMPORTRANGE(""https://docs.google.com/spreadsheets/d/1Yj_ptqi66GCucihVvJfMjLAmec39IyEx_6qawtMGysU/edit?usp=sharing"",""สบก!AS73"")"),40490.0)</f>
        <v>40490</v>
      </c>
      <c r="O98" s="203">
        <f>IF(L98&gt;0,N98*100/L98,0)</f>
        <v>30.67889074</v>
      </c>
      <c r="P98" s="203">
        <f>IF(M98&gt;0,N98*100/M98,0)</f>
        <v>52.06377781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IFERROR(__xludf.DUMMYFUNCTION("IMPORTRANGE(""https://docs.google.com/spreadsheets/d/1Yj_ptqi66GCucihVvJfMjLAmec39IyEx_6qawtMGysU/edit?usp=sharing"",""สบก!AN73"")"),0.0)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IFERROR(__xludf.DUMMYFUNCTION("IMPORTRANGE(""https://docs.google.com/spreadsheets/d/1Yj_ptqi66GCucihVvJfMjLAmec39IyEx_6qawtMGysU/edit?usp=sharing"",""สบก!AO73"")"),131980.0)</f>
        <v>131980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IFERROR(__xludf.DUMMYFUNCTION("IMPORTRANGE(""https://docs.google.com/spreadsheets/d/1Yj_ptqi66GCucihVvJfMjLAmec39IyEx_6qawtMGysU/edit?usp=sharing"",""สบก!AP73"")"),184800.0)</f>
        <v>184800</v>
      </c>
      <c r="M102" s="70"/>
      <c r="N102" s="70">
        <f>IFERROR(__xludf.DUMMYFUNCTION("IMPORTRANGE(""https://docs.google.com/spreadsheets/d/1Yj_ptqi66GCucihVvJfMjLAmec39IyEx_6qawtMGysU/edit?usp=sharing"",""สบก!AT73"")"),0.0)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IFERROR(__xludf.DUMMYFUNCTION("IMPORTRANGE(""https://docs.google.com/spreadsheets/d/1SX6NBoVAgQJ6U1MVXOaj8PK2l7WJ3RER9xtqwdhxkhw/edit?usp=sharing"",""ราชบุรี!J39"")"),0.0)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IFERROR(__xludf.DUMMYFUNCTION("IMPORTRANGE(""https://docs.google.com/spreadsheets/d/1SX6NBoVAgQJ6U1MVXOaj8PK2l7WJ3RER9xtqwdhxkhw/edit?usp=sharing"",""ราชบุรี!J40"")"),1.0)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IFERROR(__xludf.DUMMYFUNCTION("IMPORTRANGE(""https://docs.google.com/spreadsheets/d/1SX6NBoVAgQJ6U1MVXOaj8PK2l7WJ3RER9xtqwdhxkhw/edit?usp=sharing"",""ราชบุรี!J41"")"),1.0)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IFERROR(__xludf.DUMMYFUNCTION("IMPORTRANGE(""https://docs.google.com/spreadsheets/d/1SX6NBoVAgQJ6U1MVXOaj8PK2l7WJ3RER9xtqwdhxkhw/edit?usp=sharing"",""ราชบุรี!J42"")"),1.0)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IFERROR(__xludf.DUMMYFUNCTION("IMPORTRANGE(""https://docs.google.com/spreadsheets/d/1SX6NBoVAgQJ6U1MVXOaj8PK2l7WJ3RER9xtqwdhxkhw/edit?usp=sharing"",""ราชบุรี!I43"")"),1.0)</f>
        <v>1</v>
      </c>
      <c r="J108" s="238">
        <f>IFERROR(__xludf.DUMMYFUNCTION("IMPORTRANGE(""https://docs.google.com/spreadsheets/d/1SX6NBoVAgQJ6U1MVXOaj8PK2l7WJ3RER9xtqwdhxkhw/edit?usp=sharing"",""ราชบุรี!J43"")"),1.0)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IFERROR(__xludf.DUMMYFUNCTION("IMPORTRANGE(""https://docs.google.com/spreadsheets/d/1SX6NBoVAgQJ6U1MVXOaj8PK2l7WJ3RER9xtqwdhxkhw/edit?usp=sharing"",""ราชบุรี!I44"")"),6.0)</f>
        <v>6</v>
      </c>
      <c r="J109" s="238">
        <f>IFERROR(__xludf.DUMMYFUNCTION("IMPORTRANGE(""https://docs.google.com/spreadsheets/d/1SX6NBoVAgQJ6U1MVXOaj8PK2l7WJ3RER9xtqwdhxkhw/edit?usp=sharing"",""ราชบุรี!J44"")"),6.0)</f>
        <v>6</v>
      </c>
      <c r="K109" s="258">
        <f t="shared" si="58"/>
        <v>100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IFERROR(__xludf.DUMMYFUNCTION("IMPORTRANGE(""https://docs.google.com/spreadsheets/d/1SX6NBoVAgQJ6U1MVXOaj8PK2l7WJ3RER9xtqwdhxkhw/edit?usp=sharing"",""ราชบุรี!I45"")"),6.0)</f>
        <v>6</v>
      </c>
      <c r="J110" s="238">
        <f>IFERROR(__xludf.DUMMYFUNCTION("IMPORTRANGE(""https://docs.google.com/spreadsheets/d/1SX6NBoVAgQJ6U1MVXOaj8PK2l7WJ3RER9xtqwdhxkhw/edit?usp=sharing"",""ราชบุรี!J45"")"),6.0)</f>
        <v>6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IFERROR(__xludf.DUMMYFUNCTION("IMPORTRANGE(""https://docs.google.com/spreadsheets/d/1SX6NBoVAgQJ6U1MVXOaj8PK2l7WJ3RER9xtqwdhxkhw/edit?usp=sharing"",""ราชบุรี!I46"")"),6.0)</f>
        <v>6</v>
      </c>
      <c r="J111" s="238">
        <f>IFERROR(__xludf.DUMMYFUNCTION("IMPORTRANGE(""https://docs.google.com/spreadsheets/d/1SX6NBoVAgQJ6U1MVXOaj8PK2l7WJ3RER9xtqwdhxkhw/edit?usp=sharing"",""ราชบุรี!J46"")"),6.0)</f>
        <v>6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IFERROR(__xludf.DUMMYFUNCTION("IMPORTRANGE(""https://docs.google.com/spreadsheets/d/1SX6NBoVAgQJ6U1MVXOaj8PK2l7WJ3RER9xtqwdhxkhw/edit?usp=sharing"",""ราชบุรี!I47"")"),6.0)</f>
        <v>6</v>
      </c>
      <c r="J112" s="238">
        <f>IFERROR(__xludf.DUMMYFUNCTION("IMPORTRANGE(""https://docs.google.com/spreadsheets/d/1SX6NBoVAgQJ6U1MVXOaj8PK2l7WJ3RER9xtqwdhxkhw/edit?usp=sharing"",""ราชบุรี!J47"")"),0.0)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IFERROR(__xludf.DUMMYFUNCTION("IMPORTRANGE(""https://docs.google.com/spreadsheets/d/1SX6NBoVAgQJ6U1MVXOaj8PK2l7WJ3RER9xtqwdhxkhw/edit?usp=sharing"",""ราชบุรี!I48"")"),2.0)</f>
        <v>2</v>
      </c>
      <c r="J113" s="238">
        <f>IFERROR(__xludf.DUMMYFUNCTION("IMPORTRANGE(""https://docs.google.com/spreadsheets/d/1SX6NBoVAgQJ6U1MVXOaj8PK2l7WJ3RER9xtqwdhxkhw/edit?usp=sharing"",""ราชบุรี!J48"")"),0.0)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IFERROR(__xludf.DUMMYFUNCTION("IMPORTRANGE(""https://docs.google.com/spreadsheets/d/1SX6NBoVAgQJ6U1MVXOaj8PK2l7WJ3RER9xtqwdhxkhw/edit?usp=sharing"",""ราชบุรี!J49"")"),0.0)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IFERROR(__xludf.DUMMYFUNCTION("IMPORTRANGE(""https://docs.google.com/spreadsheets/d/1SX6NBoVAgQJ6U1MVXOaj8PK2l7WJ3RER9xtqwdhxkhw/edit?usp=sharing"",""ราชบุรี!J50"")"),0.0)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IFERROR(__xludf.DUMMYFUNCTION("IMPORTRANGE(""https://docs.google.com/spreadsheets/d/1SX6NBoVAgQJ6U1MVXOaj8PK2l7WJ3RER9xtqwdhxkhw/edit?usp=sharing"",""ราชบุรี!I52"")"),0.0)</f>
        <v>0</v>
      </c>
      <c r="J117" s="172">
        <f>IFERROR(__xludf.DUMMYFUNCTION("IMPORTRANGE(""https://docs.google.com/spreadsheets/d/1SX6NBoVAgQJ6U1MVXOaj8PK2l7WJ3RER9xtqwdhxkhw/edit?usp=sharing"",""ราชบุรี!J52"")"),0.0)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IFERROR(__xludf.DUMMYFUNCTION("IMPORTRANGE(""https://docs.google.com/spreadsheets/d/1Yj_ptqi66GCucihVvJfMjLAmec39IyEx_6qawtMGysU/edit?usp=sharing"",""สบก!BA73"")"),0.0)</f>
        <v>0</v>
      </c>
      <c r="N122" s="203">
        <f>IFERROR(__xludf.DUMMYFUNCTION("IMPORTRANGE(""https://docs.google.com/spreadsheets/d/1Yj_ptqi66GCucihVvJfMjLAmec39IyEx_6qawtMGysU/edit?usp=sharing"",""สบก!BB73"")"),0.0)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IFERROR(__xludf.DUMMYFUNCTION("IMPORTRANGE(""https://docs.google.com/spreadsheets/d/1Yj_ptqi66GCucihVvJfMjLAmec39IyEx_6qawtMGysU/edit?usp=sharing"",""สบก!AW73"")"),0.0)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IFERROR(__xludf.DUMMYFUNCTION("IMPORTRANGE(""https://docs.google.com/spreadsheets/d/1Yj_ptqi66GCucihVvJfMjLAmec39IyEx_6qawtMGysU/edit?usp=sharing"",""สบก!AX73"")"),0.0)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IFERROR(__xludf.DUMMYFUNCTION("IMPORTRANGE(""https://docs.google.com/spreadsheets/d/1Yj_ptqi66GCucihVvJfMjLAmec39IyEx_6qawtMGysU/edit?usp=sharing"",""สบก!AY73"")"),0.0)</f>
        <v>0</v>
      </c>
      <c r="M126" s="70"/>
      <c r="N126" s="70">
        <f>IFERROR(__xludf.DUMMYFUNCTION("IMPORTRANGE(""https://docs.google.com/spreadsheets/d/1Yj_ptqi66GCucihVvJfMjLAmec39IyEx_6qawtMGysU/edit?usp=sharing"",""สบก!BC73"")"),0.0)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268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IFERROR(__xludf.DUMMYFUNCTION("IMPORTRANGE(""https://docs.google.com/spreadsheets/d/1SX6NBoVAgQJ6U1MVXOaj8PK2l7WJ3RER9xtqwdhxkhw/edit?usp=sharing"",""ราชบุรี!J58"")"),0.0)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IFERROR(__xludf.DUMMYFUNCTION("IMPORTRANGE(""https://docs.google.com/spreadsheets/d/1SX6NBoVAgQJ6U1MVXOaj8PK2l7WJ3RER9xtqwdhxkhw/edit?usp=sharing"",""ราชบุรี!J59"")"),0.0)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IFERROR(__xludf.DUMMYFUNCTION("IMPORTRANGE(""https://docs.google.com/spreadsheets/d/1SX6NBoVAgQJ6U1MVXOaj8PK2l7WJ3RER9xtqwdhxkhw/edit?usp=sharing"",""ราชบุรี!J60"")"),0.0)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IFERROR(__xludf.DUMMYFUNCTION("IMPORTRANGE(""https://docs.google.com/spreadsheets/d/1SX6NBoVAgQJ6U1MVXOaj8PK2l7WJ3RER9xtqwdhxkhw/edit?usp=sharing"",""ราชบุรี!J61"")"),0.0)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IFERROR(__xludf.DUMMYFUNCTION("IMPORTRANGE(""https://docs.google.com/spreadsheets/d/1SX6NBoVAgQJ6U1MVXOaj8PK2l7WJ3RER9xtqwdhxkhw/edit?usp=sharing"",""ราชบุรี!I62"")"),0.0)</f>
        <v>0</v>
      </c>
      <c r="J132" s="238">
        <f>IFERROR(__xludf.DUMMYFUNCTION("IMPORTRANGE(""https://docs.google.com/spreadsheets/d/1SX6NBoVAgQJ6U1MVXOaj8PK2l7WJ3RER9xtqwdhxkhw/edit?usp=sharing"",""ราชบุรี!J62"")"),0.0)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IFERROR(__xludf.DUMMYFUNCTION("IMPORTRANGE(""https://docs.google.com/spreadsheets/d/1SX6NBoVAgQJ6U1MVXOaj8PK2l7WJ3RER9xtqwdhxkhw/edit?usp=sharing"",""ราชบุรี!I63"")"),0.0)</f>
        <v>0</v>
      </c>
      <c r="J133" s="238">
        <f>IFERROR(__xludf.DUMMYFUNCTION("IMPORTRANGE(""https://docs.google.com/spreadsheets/d/1SX6NBoVAgQJ6U1MVXOaj8PK2l7WJ3RER9xtqwdhxkhw/edit?usp=sharing"",""ราชบุรี!J63"")"),0.0)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IFERROR(__xludf.DUMMYFUNCTION("IMPORTRANGE(""https://docs.google.com/spreadsheets/d/1SX6NBoVAgQJ6U1MVXOaj8PK2l7WJ3RER9xtqwdhxkhw/edit?usp=sharing"",""ราชบุรี!J64"")"),0.0)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IFERROR(__xludf.DUMMYFUNCTION("IMPORTRANGE(""https://docs.google.com/spreadsheets/d/1SX6NBoVAgQJ6U1MVXOaj8PK2l7WJ3RER9xtqwdhxkhw/edit?usp=sharing"",""ราชบุรี!J65"")"),0.0)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IFERROR(__xludf.DUMMYFUNCTION("IMPORTRANGE(""https://docs.google.com/spreadsheets/d/1SX6NBoVAgQJ6U1MVXOaj8PK2l7WJ3RER9xtqwdhxkhw/edit?usp=sharing"",""ราชบุรี!I68"")"),0.0)</f>
        <v>0</v>
      </c>
      <c r="J138" s="301">
        <f>IFERROR(__xludf.DUMMYFUNCTION("IMPORTRANGE(""https://docs.google.com/spreadsheets/d/1SX6NBoVAgQJ6U1MVXOaj8PK2l7WJ3RER9xtqwdhxkhw/edit?usp=sharing"",""ราชบุรี!J68"")"),0.0)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58500</v>
      </c>
      <c r="M140" s="183">
        <f t="shared" si="65"/>
        <v>45750</v>
      </c>
      <c r="N140" s="183">
        <f t="shared" si="65"/>
        <v>896</v>
      </c>
      <c r="O140" s="182">
        <f t="shared" ref="O140:O142" si="67">IF(L140&gt;0,N140*100/L140,0)</f>
        <v>1.531623932</v>
      </c>
      <c r="P140" s="182">
        <f t="shared" ref="P140:P142" si="68">IF(M140&gt;0,N140*100/M140,0)</f>
        <v>1.958469945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58500</v>
      </c>
      <c r="M142" s="188">
        <f t="shared" si="69"/>
        <v>45750</v>
      </c>
      <c r="N142" s="188">
        <f t="shared" si="69"/>
        <v>896</v>
      </c>
      <c r="O142" s="187">
        <f t="shared" si="67"/>
        <v>1.531623932</v>
      </c>
      <c r="P142" s="187">
        <f t="shared" si="68"/>
        <v>1.958469945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58500</v>
      </c>
      <c r="M144" s="200">
        <f>IFERROR(__xludf.DUMMYFUNCTION("IMPORTRANGE(""https://docs.google.com/spreadsheets/d/1Yj_ptqi66GCucihVvJfMjLAmec39IyEx_6qawtMGysU/edit?usp=sharing"",""สบก!BJ73"")"),45750.0)</f>
        <v>45750</v>
      </c>
      <c r="N144" s="203">
        <f>IFERROR(__xludf.DUMMYFUNCTION("IMPORTRANGE(""https://docs.google.com/spreadsheets/d/1Yj_ptqi66GCucihVvJfMjLAmec39IyEx_6qawtMGysU/edit?usp=sharing"",""สบก!BK73"")"),896.0)</f>
        <v>896</v>
      </c>
      <c r="O144" s="203">
        <f>IF(L144&gt;0,N144*100/L144,0)</f>
        <v>1.531623932</v>
      </c>
      <c r="P144" s="203">
        <f>IF(M144&gt;0,N144*100/M144,0)</f>
        <v>1.958469945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IFERROR(__xludf.DUMMYFUNCTION("IMPORTRANGE(""https://docs.google.com/spreadsheets/d/1Yj_ptqi66GCucihVvJfMjLAmec39IyEx_6qawtMGysU/edit?usp=sharing"",""สบก!BF73"")"),0.0)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IFERROR(__xludf.DUMMYFUNCTION("IMPORTRANGE(""https://docs.google.com/spreadsheets/d/1Yj_ptqi66GCucihVvJfMjLAmec39IyEx_6qawtMGysU/edit?usp=sharing"",""สบก!BG73"")"),58500.0)</f>
        <v>58500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IFERROR(__xludf.DUMMYFUNCTION("IMPORTRANGE(""https://docs.google.com/spreadsheets/d/1Yj_ptqi66GCucihVvJfMjLAmec39IyEx_6qawtMGysU/edit?usp=sharing"",""สบก!BH73"")"),0.0)</f>
        <v>0</v>
      </c>
      <c r="M148" s="70"/>
      <c r="N148" s="70">
        <f>IFERROR(__xludf.DUMMYFUNCTION("IMPORTRANGE(""https://docs.google.com/spreadsheets/d/1Yj_ptqi66GCucihVvJfMjLAmec39IyEx_6qawtMGysU/edit?usp=sharing"",""สบก!BL73"")"),0.0)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IFERROR(__xludf.DUMMYFUNCTION("IMPORTRANGE(""https://docs.google.com/spreadsheets/d/1SX6NBoVAgQJ6U1MVXOaj8PK2l7WJ3RER9xtqwdhxkhw/edit?usp=sharing"",""ราชบุรี!I74"")"),4.0)</f>
        <v>4</v>
      </c>
      <c r="J149" s="309">
        <f>IFERROR(__xludf.DUMMYFUNCTION("IMPORTRANGE(""https://docs.google.com/spreadsheets/d/1SX6NBoVAgQJ6U1MVXOaj8PK2l7WJ3RER9xtqwdhxkhw/edit?usp=sharing"",""ราชบุรี!J74"")"),1.0)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IFERROR(__xludf.DUMMYFUNCTION("IMPORTRANGE(""https://docs.google.com/spreadsheets/d/1SX6NBoVAgQJ6U1MVXOaj8PK2l7WJ3RER9xtqwdhxkhw/edit?usp=sharing"",""ราชบุรี!J79"")"),0.0)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IFERROR(__xludf.DUMMYFUNCTION("IMPORTRANGE(""https://docs.google.com/spreadsheets/d/1SX6NBoVAgQJ6U1MVXOaj8PK2l7WJ3RER9xtqwdhxkhw/edit?usp=sharing"",""ราชบุรี!J80"")"),0.0)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IFERROR(__xludf.DUMMYFUNCTION("IMPORTRANGE(""https://docs.google.com/spreadsheets/d/1SX6NBoVAgQJ6U1MVXOaj8PK2l7WJ3RER9xtqwdhxkhw/edit?usp=sharing"",""ราชบุรี!J81"")"),0.0)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IFERROR(__xludf.DUMMYFUNCTION("IMPORTRANGE(""https://docs.google.com/spreadsheets/d/1SX6NBoVAgQJ6U1MVXOaj8PK2l7WJ3RER9xtqwdhxkhw/edit?usp=sharing"",""ราชบุรี!J82"")"),0.0)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IFERROR(__xludf.DUMMYFUNCTION("IMPORTRANGE(""https://docs.google.com/spreadsheets/d/1SX6NBoVAgQJ6U1MVXOaj8PK2l7WJ3RER9xtqwdhxkhw/edit?usp=sharing"",""ราชบุรี!I83"")"),4.0)</f>
        <v>4</v>
      </c>
      <c r="J158" s="223">
        <f>IFERROR(__xludf.DUMMYFUNCTION("IMPORTRANGE(""https://docs.google.com/spreadsheets/d/1SX6NBoVAgQJ6U1MVXOaj8PK2l7WJ3RER9xtqwdhxkhw/edit?usp=sharing"",""ราชบุรี!J83"")"),1.0)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IFERROR(__xludf.DUMMYFUNCTION("IMPORTRANGE(""https://docs.google.com/spreadsheets/d/1SX6NBoVAgQJ6U1MVXOaj8PK2l7WJ3RER9xtqwdhxkhw/edit?usp=sharing"",""ราชบุรี!J84"")"),60.0)</f>
        <v>60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IFERROR(__xludf.DUMMYFUNCTION("IMPORTRANGE(""https://docs.google.com/spreadsheets/d/1SX6NBoVAgQJ6U1MVXOaj8PK2l7WJ3RER9xtqwdhxkhw/edit?usp=sharing"",""ราชบุรี!J85"")"),60.0)</f>
        <v>60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IFERROR(__xludf.DUMMYFUNCTION("IMPORTRANGE(""https://docs.google.com/spreadsheets/d/1SX6NBoVAgQJ6U1MVXOaj8PK2l7WJ3RER9xtqwdhxkhw/edit?usp=sharing"",""ราชบุรี!J86"")"),0.0)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IFERROR(__xludf.DUMMYFUNCTION("IMPORTRANGE(""https://docs.google.com/spreadsheets/d/1SX6NBoVAgQJ6U1MVXOaj8PK2l7WJ3RER9xtqwdhxkhw/edit?usp=sharing"",""ราชบุรี!J87"")"),0.0)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IFERROR(__xludf.DUMMYFUNCTION("IMPORTRANGE(""https://docs.google.com/spreadsheets/d/1SX6NBoVAgQJ6U1MVXOaj8PK2l7WJ3RER9xtqwdhxkhw/edit?usp=sharing"",""ราชบุรี!J88"")"),0.0)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IFERROR(__xludf.DUMMYFUNCTION("IMPORTRANGE(""https://docs.google.com/spreadsheets/d/1SX6NBoVAgQJ6U1MVXOaj8PK2l7WJ3RER9xtqwdhxkhw/edit?usp=sharing"",""ราชบุรี!I89"")"),3.0)</f>
        <v>3</v>
      </c>
      <c r="J164" s="317">
        <f>IFERROR(__xludf.DUMMYFUNCTION("IMPORTRANGE(""https://docs.google.com/spreadsheets/d/1SX6NBoVAgQJ6U1MVXOaj8PK2l7WJ3RER9xtqwdhxkhw/edit?usp=sharing"",""ราชบุรี!J89"")"),0.0)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IFERROR(__xludf.DUMMYFUNCTION("IMPORTRANGE(""https://docs.google.com/spreadsheets/d/1SX6NBoVAgQJ6U1MVXOaj8PK2l7WJ3RER9xtqwdhxkhw/edit?usp=sharing"",""ราชบุรี!J94"")"),0.0)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IFERROR(__xludf.DUMMYFUNCTION("IMPORTRANGE(""https://docs.google.com/spreadsheets/d/1SX6NBoVAgQJ6U1MVXOaj8PK2l7WJ3RER9xtqwdhxkhw/edit?usp=sharing"",""ราชบุรี!J95"")"),0.0)</f>
        <v>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IFERROR(__xludf.DUMMYFUNCTION("IMPORTRANGE(""https://docs.google.com/spreadsheets/d/1SX6NBoVAgQJ6U1MVXOaj8PK2l7WJ3RER9xtqwdhxkhw/edit?usp=sharing"",""ราชบุรี!J96"")"),0.0)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IFERROR(__xludf.DUMMYFUNCTION("IMPORTRANGE(""https://docs.google.com/spreadsheets/d/1SX6NBoVAgQJ6U1MVXOaj8PK2l7WJ3RER9xtqwdhxkhw/edit?usp=sharing"",""ราชบุรี!J97"")"),0.0)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IFERROR(__xludf.DUMMYFUNCTION("IMPORTRANGE(""https://docs.google.com/spreadsheets/d/1SX6NBoVAgQJ6U1MVXOaj8PK2l7WJ3RER9xtqwdhxkhw/edit?usp=sharing"",""ราชบุรี!I98"")"),3.0)</f>
        <v>3</v>
      </c>
      <c r="J173" s="223">
        <f>IFERROR(__xludf.DUMMYFUNCTION("IMPORTRANGE(""https://docs.google.com/spreadsheets/d/1SX6NBoVAgQJ6U1MVXOaj8PK2l7WJ3RER9xtqwdhxkhw/edit?usp=sharing"",""ราชบุรี!J98"")"),0.0)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IFERROR(__xludf.DUMMYFUNCTION("IMPORTRANGE(""https://docs.google.com/spreadsheets/d/1SX6NBoVAgQJ6U1MVXOaj8PK2l7WJ3RER9xtqwdhxkhw/edit?usp=sharing"",""ราชบุรี!J99"")"),0.0)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IFERROR(__xludf.DUMMYFUNCTION("IMPORTRANGE(""https://docs.google.com/spreadsheets/d/1SX6NBoVAgQJ6U1MVXOaj8PK2l7WJ3RER9xtqwdhxkhw/edit?usp=sharing"",""ราชบุรี!J100"")"),0.0)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IFERROR(__xludf.DUMMYFUNCTION("IMPORTRANGE(""https://docs.google.com/spreadsheets/d/1SX6NBoVAgQJ6U1MVXOaj8PK2l7WJ3RER9xtqwdhxkhw/edit?usp=sharing"",""ราชบุรี!I101"")"),0.0)</f>
        <v>0</v>
      </c>
      <c r="J176" s="317">
        <f>IFERROR(__xludf.DUMMYFUNCTION("IMPORTRANGE(""https://docs.google.com/spreadsheets/d/1SX6NBoVAgQJ6U1MVXOaj8PK2l7WJ3RER9xtqwdhxkhw/edit?usp=sharing"",""ราชบุรี!J101"")"),0.0)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IFERROR(__xludf.DUMMYFUNCTION("IMPORTRANGE(""https://docs.google.com/spreadsheets/d/1SX6NBoVAgQJ6U1MVXOaj8PK2l7WJ3RER9xtqwdhxkhw/edit?usp=sharing"",""ราชบุรี!J106"")"),0.0)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IFERROR(__xludf.DUMMYFUNCTION("IMPORTRANGE(""https://docs.google.com/spreadsheets/d/1SX6NBoVAgQJ6U1MVXOaj8PK2l7WJ3RER9xtqwdhxkhw/edit?usp=sharing"",""ราชบุรี!J107"")"),0.0)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IFERROR(__xludf.DUMMYFUNCTION("IMPORTRANGE(""https://docs.google.com/spreadsheets/d/1SX6NBoVAgQJ6U1MVXOaj8PK2l7WJ3RER9xtqwdhxkhw/edit?usp=sharing"",""ราชบุรี!J108"")"),0.0)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IFERROR(__xludf.DUMMYFUNCTION("IMPORTRANGE(""https://docs.google.com/spreadsheets/d/1SX6NBoVAgQJ6U1MVXOaj8PK2l7WJ3RER9xtqwdhxkhw/edit?usp=sharing"",""ราชบุรี!J109"")"),0.0)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IFERROR(__xludf.DUMMYFUNCTION("IMPORTRANGE(""https://docs.google.com/spreadsheets/d/1SX6NBoVAgQJ6U1MVXOaj8PK2l7WJ3RER9xtqwdhxkhw/edit?usp=sharing"",""ราชบุรี!I110"")"),0.0)</f>
        <v>0</v>
      </c>
      <c r="J185" s="238">
        <f>IFERROR(__xludf.DUMMYFUNCTION("IMPORTRANGE(""https://docs.google.com/spreadsheets/d/1SX6NBoVAgQJ6U1MVXOaj8PK2l7WJ3RER9xtqwdhxkhw/edit?usp=sharing"",""ราชบุรี!J110"")"),0.0)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IFERROR(__xludf.DUMMYFUNCTION("IMPORTRANGE(""https://docs.google.com/spreadsheets/d/1SX6NBoVAgQJ6U1MVXOaj8PK2l7WJ3RER9xtqwdhxkhw/edit?usp=sharing"",""ราชบุรี!I111"")"),0.0)</f>
        <v>0</v>
      </c>
      <c r="J186" s="238">
        <f>IFERROR(__xludf.DUMMYFUNCTION("IMPORTRANGE(""https://docs.google.com/spreadsheets/d/1SX6NBoVAgQJ6U1MVXOaj8PK2l7WJ3RER9xtqwdhxkhw/edit?usp=sharing"",""ราชบุรี!J111"")"),0.0)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IFERROR(__xludf.DUMMYFUNCTION("IMPORTRANGE(""https://docs.google.com/spreadsheets/d/1SX6NBoVAgQJ6U1MVXOaj8PK2l7WJ3RER9xtqwdhxkhw/edit?usp=sharing"",""ราชบุรี!J112"")"),0.0)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IFERROR(__xludf.DUMMYFUNCTION("IMPORTRANGE(""https://docs.google.com/spreadsheets/d/1SX6NBoVAgQJ6U1MVXOaj8PK2l7WJ3RER9xtqwdhxkhw/edit?usp=sharing"",""ราชบุรี!J113"")"),0.0)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IFERROR(__xludf.DUMMYFUNCTION("IMPORTRANGE(""https://docs.google.com/spreadsheets/d/1SX6NBoVAgQJ6U1MVXOaj8PK2l7WJ3RER9xtqwdhxkhw/edit?usp=sharing"",""ราชบุรี!I114"")"),20000.0)</f>
        <v>20000</v>
      </c>
      <c r="J189" s="317">
        <f>IFERROR(__xludf.DUMMYFUNCTION("IMPORTRANGE(""https://docs.google.com/spreadsheets/d/1SX6NBoVAgQJ6U1MVXOaj8PK2l7WJ3RER9xtqwdhxkhw/edit?usp=sharing"",""ราชบุรี!J114"")"),0.0)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IFERROR(__xludf.DUMMYFUNCTION("IMPORTRANGE(""https://docs.google.com/spreadsheets/d/1SX6NBoVAgQJ6U1MVXOaj8PK2l7WJ3RER9xtqwdhxkhw/edit?usp=sharing"",""ราชบุรี!J119"")"),0.0)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IFERROR(__xludf.DUMMYFUNCTION("IMPORTRANGE(""https://docs.google.com/spreadsheets/d/1SX6NBoVAgQJ6U1MVXOaj8PK2l7WJ3RER9xtqwdhxkhw/edit?usp=sharing"",""ราชบุรี!J120"")"),1.0)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IFERROR(__xludf.DUMMYFUNCTION("IMPORTRANGE(""https://docs.google.com/spreadsheets/d/1SX6NBoVAgQJ6U1MVXOaj8PK2l7WJ3RER9xtqwdhxkhw/edit?usp=sharing"",""ราชบุรี!J121"")"),0.0)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IFERROR(__xludf.DUMMYFUNCTION("IMPORTRANGE(""https://docs.google.com/spreadsheets/d/1SX6NBoVAgQJ6U1MVXOaj8PK2l7WJ3RER9xtqwdhxkhw/edit?usp=sharing"",""ราชบุรี!J122"")"),0.0)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IFERROR(__xludf.DUMMYFUNCTION("IMPORTRANGE(""https://docs.google.com/spreadsheets/d/1SX6NBoVAgQJ6U1MVXOaj8PK2l7WJ3RER9xtqwdhxkhw/edit?usp=sharing"",""ราชบุรี!I124"")"),20000.0)</f>
        <v>20000</v>
      </c>
      <c r="J199" s="223">
        <f>IFERROR(__xludf.DUMMYFUNCTION("IMPORTRANGE(""https://docs.google.com/spreadsheets/d/1SX6NBoVAgQJ6U1MVXOaj8PK2l7WJ3RER9xtqwdhxkhw/edit?usp=sharing"",""ราชบุรี!J124"")"),0.0)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IFERROR(__xludf.DUMMYFUNCTION("IMPORTRANGE(""https://docs.google.com/spreadsheets/d/1SX6NBoVAgQJ6U1MVXOaj8PK2l7WJ3RER9xtqwdhxkhw/edit?usp=sharing"",""ราชบุรี!I125"")"),20000.0)</f>
        <v>20000</v>
      </c>
      <c r="J200" s="223">
        <f>IFERROR(__xludf.DUMMYFUNCTION("IMPORTRANGE(""https://docs.google.com/spreadsheets/d/1SX6NBoVAgQJ6U1MVXOaj8PK2l7WJ3RER9xtqwdhxkhw/edit?usp=sharing"",""ราชบุรี!J125"")"),0.0)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IFERROR(__xludf.DUMMYFUNCTION("IMPORTRANGE(""https://docs.google.com/spreadsheets/d/1SX6NBoVAgQJ6U1MVXOaj8PK2l7WJ3RER9xtqwdhxkhw/edit?usp=sharing"",""ราชบุรี!I126"")"),0.0)</f>
        <v>0</v>
      </c>
      <c r="J201" s="223">
        <f>IFERROR(__xludf.DUMMYFUNCTION("IMPORTRANGE(""https://docs.google.com/spreadsheets/d/1SX6NBoVAgQJ6U1MVXOaj8PK2l7WJ3RER9xtqwdhxkhw/edit?usp=sharing"",""ราชบุรี!J126"")"),0.0)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IFERROR(__xludf.DUMMYFUNCTION("IMPORTRANGE(""https://docs.google.com/spreadsheets/d/1SX6NBoVAgQJ6U1MVXOaj8PK2l7WJ3RER9xtqwdhxkhw/edit?usp=sharing"",""ราชบุรี!J127"")"),0.0)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IFERROR(__xludf.DUMMYFUNCTION("IMPORTRANGE(""https://docs.google.com/spreadsheets/d/1SX6NBoVAgQJ6U1MVXOaj8PK2l7WJ3RER9xtqwdhxkhw/edit?usp=sharing"",""ราชบุรี!J128"")"),0.0)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IFERROR(__xludf.DUMMYFUNCTION("IMPORTRANGE(""https://docs.google.com/spreadsheets/d/1SX6NBoVAgQJ6U1MVXOaj8PK2l7WJ3RER9xtqwdhxkhw/edit?usp=sharing"",""ราชบุรี!I129"")"),0.0)</f>
        <v>0</v>
      </c>
      <c r="J204" s="317">
        <f>IFERROR(__xludf.DUMMYFUNCTION("IMPORTRANGE(""https://docs.google.com/spreadsheets/d/1SX6NBoVAgQJ6U1MVXOaj8PK2l7WJ3RER9xtqwdhxkhw/edit?usp=sharing"",""ราชบุรี!J129"")"),0.0)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IFERROR(__xludf.DUMMYFUNCTION("IMPORTRANGE(""https://docs.google.com/spreadsheets/d/1SX6NBoVAgQJ6U1MVXOaj8PK2l7WJ3RER9xtqwdhxkhw/edit?usp=sharing"",""ราชบุรี!J134"")"),0.0)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IFERROR(__xludf.DUMMYFUNCTION("IMPORTRANGE(""https://docs.google.com/spreadsheets/d/1SX6NBoVAgQJ6U1MVXOaj8PK2l7WJ3RER9xtqwdhxkhw/edit?usp=sharing"",""ราชบุรี!J135"")"),0.0)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IFERROR(__xludf.DUMMYFUNCTION("IMPORTRANGE(""https://docs.google.com/spreadsheets/d/1SX6NBoVAgQJ6U1MVXOaj8PK2l7WJ3RER9xtqwdhxkhw/edit?usp=sharing"",""ราชบุรี!J136"")"),0.0)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IFERROR(__xludf.DUMMYFUNCTION("IMPORTRANGE(""https://docs.google.com/spreadsheets/d/1SX6NBoVAgQJ6U1MVXOaj8PK2l7WJ3RER9xtqwdhxkhw/edit?usp=sharing"",""ราชบุรี!J137"")"),0.0)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IFERROR(__xludf.DUMMYFUNCTION("IMPORTRANGE(""https://docs.google.com/spreadsheets/d/1SX6NBoVAgQJ6U1MVXOaj8PK2l7WJ3RER9xtqwdhxkhw/edit?usp=sharing"",""ราชบุรี!I138"")"),0.0)</f>
        <v>0</v>
      </c>
      <c r="J213" s="238">
        <f>IFERROR(__xludf.DUMMYFUNCTION("IMPORTRANGE(""https://docs.google.com/spreadsheets/d/1SX6NBoVAgQJ6U1MVXOaj8PK2l7WJ3RER9xtqwdhxkhw/edit?usp=sharing"",""ราชบุรี!J138"")"),0.0)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IFERROR(__xludf.DUMMYFUNCTION("IMPORTRANGE(""https://docs.google.com/spreadsheets/d/1SX6NBoVAgQJ6U1MVXOaj8PK2l7WJ3RER9xtqwdhxkhw/edit?usp=sharing"",""ราชบุรี!I140"")"),0.0)</f>
        <v>0</v>
      </c>
      <c r="J215" s="238">
        <f>IFERROR(__xludf.DUMMYFUNCTION("IMPORTRANGE(""https://docs.google.com/spreadsheets/d/1SX6NBoVAgQJ6U1MVXOaj8PK2l7WJ3RER9xtqwdhxkhw/edit?usp=sharing"",""ราชบุรี!J140"")"),0.0)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IFERROR(__xludf.DUMMYFUNCTION("IMPORTRANGE(""https://docs.google.com/spreadsheets/d/1SX6NBoVAgQJ6U1MVXOaj8PK2l7WJ3RER9xtqwdhxkhw/edit?usp=sharing"",""ราชบุรี!I141"")"),0.0)</f>
        <v>0</v>
      </c>
      <c r="J216" s="238">
        <f>IFERROR(__xludf.DUMMYFUNCTION("IMPORTRANGE(""https://docs.google.com/spreadsheets/d/1SX6NBoVAgQJ6U1MVXOaj8PK2l7WJ3RER9xtqwdhxkhw/edit?usp=sharing"",""ราชบุรี!J141"")"),0.0)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IFERROR(__xludf.DUMMYFUNCTION("IMPORTRANGE(""https://docs.google.com/spreadsheets/d/1SX6NBoVAgQJ6U1MVXOaj8PK2l7WJ3RER9xtqwdhxkhw/edit?usp=sharing"",""ราชบุรี!J142"")"),0.0)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IFERROR(__xludf.DUMMYFUNCTION("IMPORTRANGE(""https://docs.google.com/spreadsheets/d/1SX6NBoVAgQJ6U1MVXOaj8PK2l7WJ3RER9xtqwdhxkhw/edit?usp=sharing"",""ราชบุรี!J143"")"),0.0)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IFERROR(__xludf.DUMMYFUNCTION("IMPORTRANGE(""https://docs.google.com/spreadsheets/d/1SX6NBoVAgQJ6U1MVXOaj8PK2l7WJ3RER9xtqwdhxkhw/edit?usp=sharing"",""ราชบุรี!I144"")"),15.0)</f>
        <v>15</v>
      </c>
      <c r="J219" s="301">
        <f>IFERROR(__xludf.DUMMYFUNCTION("IMPORTRANGE(""https://docs.google.com/spreadsheets/d/1SX6NBoVAgQJ6U1MVXOaj8PK2l7WJ3RER9xtqwdhxkhw/edit?usp=sharing"",""ราชบุรี!J144"")"),15.0)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0">
        <f>IFERROR(__xludf.DUMMYFUNCTION("IMPORTRANGE(""https://docs.google.com/spreadsheets/d/1Yj_ptqi66GCucihVvJfMjLAmec39IyEx_6qawtMGysU/edit?usp=sharing"",""สบก!BS73"")"),21125.0)</f>
        <v>21125</v>
      </c>
      <c r="N224" s="203">
        <f>IFERROR(__xludf.DUMMYFUNCTION("IMPORTRANGE(""https://docs.google.com/spreadsheets/d/1Yj_ptqi66GCucihVvJfMjLAmec39IyEx_6qawtMGysU/edit?usp=sharing"",""สบก!BT73"")"),21125.0)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IFERROR(__xludf.DUMMYFUNCTION("IMPORTRANGE(""https://docs.google.com/spreadsheets/d/1Yj_ptqi66GCucihVvJfMjLAmec39IyEx_6qawtMGysU/edit?usp=sharing"",""สบก!BO73"")"),0.0)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IFERROR(__xludf.DUMMYFUNCTION("IMPORTRANGE(""https://docs.google.com/spreadsheets/d/1Yj_ptqi66GCucihVvJfMjLAmec39IyEx_6qawtMGysU/edit?usp=sharing"",""สบก!BP73"")"),21125.0)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IFERROR(__xludf.DUMMYFUNCTION("IMPORTRANGE(""https://docs.google.com/spreadsheets/d/1Yj_ptqi66GCucihVvJfMjLAmec39IyEx_6qawtMGysU/edit?usp=sharing"",""สบก!BQ73"")"),0.0)</f>
        <v>0</v>
      </c>
      <c r="M228" s="70"/>
      <c r="N228" s="70">
        <f>IFERROR(__xludf.DUMMYFUNCTION("IMPORTRANGE(""https://docs.google.com/spreadsheets/d/1Yj_ptqi66GCucihVvJfMjLAmec39IyEx_6qawtMGysU/edit?usp=sharing"",""สบก!BU73"")"),0.0)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IFERROR(__xludf.DUMMYFUNCTION("IMPORTRANGE(""https://docs.google.com/spreadsheets/d/1SX6NBoVAgQJ6U1MVXOaj8PK2l7WJ3RER9xtqwdhxkhw/edit?usp=sharing"",""ราชบุรี!I149"")"),15.0)</f>
        <v>15</v>
      </c>
      <c r="J229" s="301">
        <f>IFERROR(__xludf.DUMMYFUNCTION("IMPORTRANGE(""https://docs.google.com/spreadsheets/d/1SX6NBoVAgQJ6U1MVXOaj8PK2l7WJ3RER9xtqwdhxkhw/edit?usp=sharing"",""ราชบุรี!J149"")"),15.0)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IFERROR(__xludf.DUMMYFUNCTION("IMPORTRANGE(""https://docs.google.com/spreadsheets/d/1SX6NBoVAgQJ6U1MVXOaj8PK2l7WJ3RER9xtqwdhxkhw/edit?usp=sharing"",""ราชบุรี!J151"")"),15.0)</f>
        <v>15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IFERROR(__xludf.DUMMYFUNCTION("IMPORTRANGE(""https://docs.google.com/spreadsheets/d/1SX6NBoVAgQJ6U1MVXOaj8PK2l7WJ3RER9xtqwdhxkhw/edit?usp=sharing"",""ราชบุรี!J152"")"),1.0)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IFERROR(__xludf.DUMMYFUNCTION("IMPORTRANGE(""https://docs.google.com/spreadsheets/d/1SX6NBoVAgQJ6U1MVXOaj8PK2l7WJ3RER9xtqwdhxkhw/edit?usp=sharing"",""ราชบุรี!J153"")"),1.0)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IFERROR(__xludf.DUMMYFUNCTION("IMPORTRANGE(""https://docs.google.com/spreadsheets/d/1SX6NBoVAgQJ6U1MVXOaj8PK2l7WJ3RER9xtqwdhxkhw/edit?usp=sharing"",""ราชบุรี!J154"")"),0.0)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IFERROR(__xludf.DUMMYFUNCTION("IMPORTRANGE(""https://docs.google.com/spreadsheets/d/1SX6NBoVAgQJ6U1MVXOaj8PK2l7WJ3RER9xtqwdhxkhw/edit?usp=sharing"",""ราชบุรี!I155"")"),15.0)</f>
        <v>15</v>
      </c>
      <c r="J235" s="223">
        <f>IFERROR(__xludf.DUMMYFUNCTION("IMPORTRANGE(""https://docs.google.com/spreadsheets/d/1SX6NBoVAgQJ6U1MVXOaj8PK2l7WJ3RER9xtqwdhxkhw/edit?usp=sharing"",""ราชบุรี!J155"")"),15.0)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IFERROR(__xludf.DUMMYFUNCTION("IMPORTRANGE(""https://docs.google.com/spreadsheets/d/1SX6NBoVAgQJ6U1MVXOaj8PK2l7WJ3RER9xtqwdhxkhw/edit?usp=sharing"",""ราชบุรี!J156"")"),1.0)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IFERROR(__xludf.DUMMYFUNCTION("IMPORTRANGE(""https://docs.google.com/spreadsheets/d/1SX6NBoVAgQJ6U1MVXOaj8PK2l7WJ3RER9xtqwdhxkhw/edit?usp=sharing"",""ราชบุรี!J157"")"),1.0)</f>
        <v>1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IFERROR(__xludf.DUMMYFUNCTION("IMPORTRANGE(""https://docs.google.com/spreadsheets/d/1SX6NBoVAgQJ6U1MVXOaj8PK2l7WJ3RER9xtqwdhxkhw/edit?usp=sharing"",""ราชบุรี!I158"")"),0.0)</f>
        <v>0</v>
      </c>
      <c r="J238" s="301">
        <f>IFERROR(__xludf.DUMMYFUNCTION("IMPORTRANGE(""https://docs.google.com/spreadsheets/d/1SX6NBoVAgQJ6U1MVXOaj8PK2l7WJ3RER9xtqwdhxkhw/edit?usp=sharing"",""ราชบุรี!J158"")"),0.0)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IFERROR(__xludf.DUMMYFUNCTION("IMPORTRANGE(""https://docs.google.com/spreadsheets/d/1SX6NBoVAgQJ6U1MVXOaj8PK2l7WJ3RER9xtqwdhxkhw/edit?usp=sharing"",""ราชบุรี!J159"")"),"")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IFERROR(__xludf.DUMMYFUNCTION("IMPORTRANGE(""https://docs.google.com/spreadsheets/d/1SX6NBoVAgQJ6U1MVXOaj8PK2l7WJ3RER9xtqwdhxkhw/edit?usp=sharing"",""ราชบุรี!J161"")"),0.0)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IFERROR(__xludf.DUMMYFUNCTION("IMPORTRANGE(""https://docs.google.com/spreadsheets/d/1SX6NBoVAgQJ6U1MVXOaj8PK2l7WJ3RER9xtqwdhxkhw/edit?usp=sharing"",""ราชบุรี!J162"")"),0.0)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IFERROR(__xludf.DUMMYFUNCTION("IMPORTRANGE(""https://docs.google.com/spreadsheets/d/1SX6NBoVAgQJ6U1MVXOaj8PK2l7WJ3RER9xtqwdhxkhw/edit?usp=sharing"",""ราชบุรี!J163"")"),0.0)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IFERROR(__xludf.DUMMYFUNCTION("IMPORTRANGE(""https://docs.google.com/spreadsheets/d/1SX6NBoVAgQJ6U1MVXOaj8PK2l7WJ3RER9xtqwdhxkhw/edit?usp=sharing"",""ราชบุรี!I164"")"),0.0)</f>
        <v>0</v>
      </c>
      <c r="J244" s="222">
        <f>IFERROR(__xludf.DUMMYFUNCTION("IMPORTRANGE(""https://docs.google.com/spreadsheets/d/1SX6NBoVAgQJ6U1MVXOaj8PK2l7WJ3RER9xtqwdhxkhw/edit?usp=sharing"",""ราชบุรี!J164"")"),0.0)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IFERROR(__xludf.DUMMYFUNCTION("IMPORTRANGE(""https://docs.google.com/spreadsheets/d/1SX6NBoVAgQJ6U1MVXOaj8PK2l7WJ3RER9xtqwdhxkhw/edit?usp=sharing"",""ราชบุรี!J165"")"),0.0)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IFERROR(__xludf.DUMMYFUNCTION("IMPORTRANGE(""https://docs.google.com/spreadsheets/d/1SX6NBoVAgQJ6U1MVXOaj8PK2l7WJ3RER9xtqwdhxkhw/edit?usp=sharing"",""ราชบุรี!J166"")"),0.0)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IFERROR(__xludf.DUMMYFUNCTION("IMPORTRANGE(""https://docs.google.com/spreadsheets/d/1SX6NBoVAgQJ6U1MVXOaj8PK2l7WJ3RER9xtqwdhxkhw/edit?usp=sharing"",""ราชบุรี!I169"")"),0.0)</f>
        <v>0</v>
      </c>
      <c r="J249" s="349">
        <f>IFERROR(__xludf.DUMMYFUNCTION("IMPORTRANGE(""https://docs.google.com/spreadsheets/d/1SX6NBoVAgQJ6U1MVXOaj8PK2l7WJ3RER9xtqwdhxkhw/edit?usp=sharing"",""ราชบุรี!J169"")"),0.0)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IFERROR(__xludf.DUMMYFUNCTION("IMPORTRANGE(""https://docs.google.com/spreadsheets/d/1Yj_ptqi66GCucihVvJfMjLAmec39IyEx_6qawtMGysU/edit?usp=sharing"",""สบก!CB73"")"),0.0)</f>
        <v>0</v>
      </c>
      <c r="N254" s="203">
        <f>IFERROR(__xludf.DUMMYFUNCTION("IMPORTRANGE(""https://docs.google.com/spreadsheets/d/1Yj_ptqi66GCucihVvJfMjLAmec39IyEx_6qawtMGysU/edit?usp=sharing"",""สบก!CC73"")"),0.0)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IFERROR(__xludf.DUMMYFUNCTION("IMPORTRANGE(""https://docs.google.com/spreadsheets/d/1Yj_ptqi66GCucihVvJfMjLAmec39IyEx_6qawtMGysU/edit?usp=sharing"",""สบก!BX73"")"),0.0)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IFERROR(__xludf.DUMMYFUNCTION("IMPORTRANGE(""https://docs.google.com/spreadsheets/d/1Yj_ptqi66GCucihVvJfMjLAmec39IyEx_6qawtMGysU/edit?usp=sharing"",""สบก!BY73"")"),0.0)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IFERROR(__xludf.DUMMYFUNCTION("IMPORTRANGE(""https://docs.google.com/spreadsheets/d/1Yj_ptqi66GCucihVvJfMjLAmec39IyEx_6qawtMGysU/edit?usp=sharing"",""สบก!BZ73"")"),0.0)</f>
        <v>0</v>
      </c>
      <c r="M258" s="70"/>
      <c r="N258" s="70">
        <f>IFERROR(__xludf.DUMMYFUNCTION("IMPORTRANGE(""https://docs.google.com/spreadsheets/d/1Yj_ptqi66GCucihVvJfMjLAmec39IyEx_6qawtMGysU/edit?usp=sharing"",""สบก!CD73"")"),0.0)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IFERROR(__xludf.DUMMYFUNCTION("IMPORTRANGE(""https://docs.google.com/spreadsheets/d/1SX6NBoVAgQJ6U1MVXOaj8PK2l7WJ3RER9xtqwdhxkhw/edit?usp=sharing"",""ราชบุรี!J175"")"),0.0)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IFERROR(__xludf.DUMMYFUNCTION("IMPORTRANGE(""https://docs.google.com/spreadsheets/d/1SX6NBoVAgQJ6U1MVXOaj8PK2l7WJ3RER9xtqwdhxkhw/edit?usp=sharing"",""ราชบุรี!J176"")"),0.0)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IFERROR(__xludf.DUMMYFUNCTION("IMPORTRANGE(""https://docs.google.com/spreadsheets/d/1SX6NBoVAgQJ6U1MVXOaj8PK2l7WJ3RER9xtqwdhxkhw/edit?usp=sharing"",""ราชบุรี!J177"")"),0.0)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IFERROR(__xludf.DUMMYFUNCTION("IMPORTRANGE(""https://docs.google.com/spreadsheets/d/1SX6NBoVAgQJ6U1MVXOaj8PK2l7WJ3RER9xtqwdhxkhw/edit?usp=sharing"",""ราชบุรี!J178"")"),0.0)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IFERROR(__xludf.DUMMYFUNCTION("IMPORTRANGE(""https://docs.google.com/spreadsheets/d/1SX6NBoVAgQJ6U1MVXOaj8PK2l7WJ3RER9xtqwdhxkhw/edit?usp=sharing"",""ราชบุรี!I179"")"),0.0)</f>
        <v>0</v>
      </c>
      <c r="J264" s="223">
        <f>IFERROR(__xludf.DUMMYFUNCTION("IMPORTRANGE(""https://docs.google.com/spreadsheets/d/1SX6NBoVAgQJ6U1MVXOaj8PK2l7WJ3RER9xtqwdhxkhw/edit?usp=sharing"",""ราชบุรี!J179"")"),0.0)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IFERROR(__xludf.DUMMYFUNCTION("IMPORTRANGE(""https://docs.google.com/spreadsheets/d/1SX6NBoVAgQJ6U1MVXOaj8PK2l7WJ3RER9xtqwdhxkhw/edit?usp=sharing"",""ราชบุรี!I180"")"),0.0)</f>
        <v>0</v>
      </c>
      <c r="J265" s="223">
        <f>IFERROR(__xludf.DUMMYFUNCTION("IMPORTRANGE(""https://docs.google.com/spreadsheets/d/1SX6NBoVAgQJ6U1MVXOaj8PK2l7WJ3RER9xtqwdhxkhw/edit?usp=sharing"",""ราชบุรี!J180"")"),0.0)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IFERROR(__xludf.DUMMYFUNCTION("IMPORTRANGE(""https://docs.google.com/spreadsheets/d/1SX6NBoVAgQJ6U1MVXOaj8PK2l7WJ3RER9xtqwdhxkhw/edit?usp=sharing"",""ราชบุรี!I181"")"),0.0)</f>
        <v>0</v>
      </c>
      <c r="J266" s="223">
        <f>IFERROR(__xludf.DUMMYFUNCTION("IMPORTRANGE(""https://docs.google.com/spreadsheets/d/1SX6NBoVAgQJ6U1MVXOaj8PK2l7WJ3RER9xtqwdhxkhw/edit?usp=sharing"",""ราชบุรี!J181"")"),0.0)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IFERROR(__xludf.DUMMYFUNCTION("IMPORTRANGE(""https://docs.google.com/spreadsheets/d/1SX6NBoVAgQJ6U1MVXOaj8PK2l7WJ3RER9xtqwdhxkhw/edit?usp=sharing"",""ราชบุรี!I182"")"),0.0)</f>
        <v>0</v>
      </c>
      <c r="J267" s="223">
        <f>IFERROR(__xludf.DUMMYFUNCTION("IMPORTRANGE(""https://docs.google.com/spreadsheets/d/1SX6NBoVAgQJ6U1MVXOaj8PK2l7WJ3RER9xtqwdhxkhw/edit?usp=sharing"",""ราชบุรี!J182"")"),0.0)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IFERROR(__xludf.DUMMYFUNCTION("IMPORTRANGE(""https://docs.google.com/spreadsheets/d/1SX6NBoVAgQJ6U1MVXOaj8PK2l7WJ3RER9xtqwdhxkhw/edit?usp=sharing"",""ราชบุรี!J183"")"),0.0)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IFERROR(__xludf.DUMMYFUNCTION("IMPORTRANGE(""https://docs.google.com/spreadsheets/d/1SX6NBoVAgQJ6U1MVXOaj8PK2l7WJ3RER9xtqwdhxkhw/edit?usp=sharing"",""ราชบุรี!J184"")"),0.0)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IFERROR(__xludf.DUMMYFUNCTION("IMPORTRANGE(""https://docs.google.com/spreadsheets/d/1SX6NBoVAgQJ6U1MVXOaj8PK2l7WJ3RER9xtqwdhxkhw/edit?usp=sharing"",""ราชบุรี!I185"")"),15.0)</f>
        <v>15</v>
      </c>
      <c r="J270" s="349">
        <f>IFERROR(__xludf.DUMMYFUNCTION("IMPORTRANGE(""https://docs.google.com/spreadsheets/d/1SX6NBoVAgQJ6U1MVXOaj8PK2l7WJ3RER9xtqwdhxkhw/edit?usp=sharing"",""ราชบุรี!J185"")"),15.0)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187200</v>
      </c>
      <c r="M271" s="183">
        <f t="shared" si="84"/>
        <v>98250</v>
      </c>
      <c r="N271" s="183">
        <f t="shared" si="84"/>
        <v>70959</v>
      </c>
      <c r="O271" s="182">
        <f t="shared" ref="O271:O273" si="86">IF(L271&gt;0,N271*100/L271,0)</f>
        <v>37.90544872</v>
      </c>
      <c r="P271" s="182">
        <f t="shared" ref="P271:P273" si="87">IF(M271&gt;0,N271*100/M271,0)</f>
        <v>72.22290076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187200</v>
      </c>
      <c r="M273" s="188">
        <f t="shared" si="88"/>
        <v>98250</v>
      </c>
      <c r="N273" s="188">
        <f t="shared" si="88"/>
        <v>70959</v>
      </c>
      <c r="O273" s="187">
        <f t="shared" si="86"/>
        <v>37.90544872</v>
      </c>
      <c r="P273" s="187">
        <f t="shared" si="87"/>
        <v>72.22290076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187200</v>
      </c>
      <c r="M275" s="200">
        <f>IFERROR(__xludf.DUMMYFUNCTION("IMPORTRANGE(""https://docs.google.com/spreadsheets/d/1Yj_ptqi66GCucihVvJfMjLAmec39IyEx_6qawtMGysU/edit?usp=sharing"",""สบก!CK73"")"),98250.0)</f>
        <v>98250</v>
      </c>
      <c r="N275" s="203">
        <f>IFERROR(__xludf.DUMMYFUNCTION("IMPORTRANGE(""https://docs.google.com/spreadsheets/d/1Yj_ptqi66GCucihVvJfMjLAmec39IyEx_6qawtMGysU/edit?usp=sharing"",""สบก!CL73"")"),70959.0)</f>
        <v>70959</v>
      </c>
      <c r="O275" s="203">
        <f>IF(L275&gt;0,N275*100/L275,0)</f>
        <v>37.90544872</v>
      </c>
      <c r="P275" s="203">
        <f>IF(M275&gt;0,N275*100/M275,0)</f>
        <v>72.22290076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IFERROR(__xludf.DUMMYFUNCTION("IMPORTRANGE(""https://docs.google.com/spreadsheets/d/1Yj_ptqi66GCucihVvJfMjLAmec39IyEx_6qawtMGysU/edit?usp=sharing"",""สบก!CG73"")"),132000.0)</f>
        <v>132000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IFERROR(__xludf.DUMMYFUNCTION("IMPORTRANGE(""https://docs.google.com/spreadsheets/d/1Yj_ptqi66GCucihVvJfMjLAmec39IyEx_6qawtMGysU/edit?usp=sharing"",""สบก!CH73"")"),55200.0)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IFERROR(__xludf.DUMMYFUNCTION("IMPORTRANGE(""https://docs.google.com/spreadsheets/d/1Yj_ptqi66GCucihVvJfMjLAmec39IyEx_6qawtMGysU/edit?usp=sharing"",""สบก!CI73"")"),0.0)</f>
        <v>0</v>
      </c>
      <c r="M279" s="70"/>
      <c r="N279" s="70">
        <f>IFERROR(__xludf.DUMMYFUNCTION("IMPORTRANGE(""https://docs.google.com/spreadsheets/d/1Yj_ptqi66GCucihVvJfMjLAmec39IyEx_6qawtMGysU/edit?usp=sharing"",""สบก!CM73"")"),0.0)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IFERROR(__xludf.DUMMYFUNCTION("IMPORTRANGE(""https://docs.google.com/spreadsheets/d/1SX6NBoVAgQJ6U1MVXOaj8PK2l7WJ3RER9xtqwdhxkhw/edit?usp=sharing"",""ราชบุรี!J191"")"),0.0)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IFERROR(__xludf.DUMMYFUNCTION("IMPORTRANGE(""https://docs.google.com/spreadsheets/d/1SX6NBoVAgQJ6U1MVXOaj8PK2l7WJ3RER9xtqwdhxkhw/edit?usp=sharing"",""ราชบุรี!J192"")"),1.0)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IFERROR(__xludf.DUMMYFUNCTION("IMPORTRANGE(""https://docs.google.com/spreadsheets/d/1SX6NBoVAgQJ6U1MVXOaj8PK2l7WJ3RER9xtqwdhxkhw/edit?usp=sharing"",""ราชบุรี!J193"")"),1.0)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IFERROR(__xludf.DUMMYFUNCTION("IMPORTRANGE(""https://docs.google.com/spreadsheets/d/1SX6NBoVAgQJ6U1MVXOaj8PK2l7WJ3RER9xtqwdhxkhw/edit?usp=sharing"",""ราชบุรี!J194"")"),0.0)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IFERROR(__xludf.DUMMYFUNCTION("IMPORTRANGE(""https://docs.google.com/spreadsheets/d/1SX6NBoVAgQJ6U1MVXOaj8PK2l7WJ3RER9xtqwdhxkhw/edit?usp=sharing"",""ราชบุรี!I195"")"),15.0)</f>
        <v>15</v>
      </c>
      <c r="J285" s="223">
        <f>IFERROR(__xludf.DUMMYFUNCTION("IMPORTRANGE(""https://docs.google.com/spreadsheets/d/1SX6NBoVAgQJ6U1MVXOaj8PK2l7WJ3RER9xtqwdhxkhw/edit?usp=sharing"",""ราชบุรี!J195"")"),15.0)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IFERROR(__xludf.DUMMYFUNCTION("IMPORTRANGE(""https://docs.google.com/spreadsheets/d/1SX6NBoVAgQJ6U1MVXOaj8PK2l7WJ3RER9xtqwdhxkhw/edit?usp=sharing"",""ราชบุรี!J196"")"),0.0)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IFERROR(__xludf.DUMMYFUNCTION("IMPORTRANGE(""https://docs.google.com/spreadsheets/d/1SX6NBoVAgQJ6U1MVXOaj8PK2l7WJ3RER9xtqwdhxkhw/edit?usp=sharing"",""ราชบุรี!J197"")"),0.0)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IFERROR(__xludf.DUMMYFUNCTION("IMPORTRANGE(""https://docs.google.com/spreadsheets/d/1SX6NBoVAgQJ6U1MVXOaj8PK2l7WJ3RER9xtqwdhxkhw/edit?usp=sharing"",""ราชบุรี!I199"")"),0.0)</f>
        <v>0</v>
      </c>
      <c r="J289" s="349">
        <f>IFERROR(__xludf.DUMMYFUNCTION("IMPORTRANGE(""https://docs.google.com/spreadsheets/d/1SX6NBoVAgQJ6U1MVXOaj8PK2l7WJ3RER9xtqwdhxkhw/edit?usp=sharing"",""ราชบุรี!J199"")"),0.0)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IFERROR(__xludf.DUMMYFUNCTION("IMPORTRANGE(""https://docs.google.com/spreadsheets/d/1Yj_ptqi66GCucihVvJfMjLAmec39IyEx_6qawtMGysU/edit?usp=sharing"",""สบก!CT73"")"),0.0)</f>
        <v>0</v>
      </c>
      <c r="N294" s="203">
        <f>IFERROR(__xludf.DUMMYFUNCTION("IMPORTRANGE(""https://docs.google.com/spreadsheets/d/1Yj_ptqi66GCucihVvJfMjLAmec39IyEx_6qawtMGysU/edit?usp=sharing"",""สบก!CU73"")"),0.0)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IFERROR(__xludf.DUMMYFUNCTION("IMPORTRANGE(""https://docs.google.com/spreadsheets/d/1Yj_ptqi66GCucihVvJfMjLAmec39IyEx_6qawtMGysU/edit?usp=sharing"",""สบก!CP73"")"),0.0)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IFERROR(__xludf.DUMMYFUNCTION("IMPORTRANGE(""https://docs.google.com/spreadsheets/d/1Yj_ptqi66GCucihVvJfMjLAmec39IyEx_6qawtMGysU/edit?usp=sharing"",""สบก!CQ73"")"),0.0)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IFERROR(__xludf.DUMMYFUNCTION("IMPORTRANGE(""https://docs.google.com/spreadsheets/d/1Yj_ptqi66GCucihVvJfMjLAmec39IyEx_6qawtMGysU/edit?usp=sharing"",""สบก!CR73"")"),0.0)</f>
        <v>0</v>
      </c>
      <c r="M298" s="70"/>
      <c r="N298" s="70">
        <f>IFERROR(__xludf.DUMMYFUNCTION("IMPORTRANGE(""https://docs.google.com/spreadsheets/d/1Yj_ptqi66GCucihVvJfMjLAmec39IyEx_6qawtMGysU/edit?usp=sharing"",""สบก!CV73"")"),0.0)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IFERROR(__xludf.DUMMYFUNCTION("IMPORTRANGE(""https://docs.google.com/spreadsheets/d/1SX6NBoVAgQJ6U1MVXOaj8PK2l7WJ3RER9xtqwdhxkhw/edit?usp=sharing"",""ราชบุรี!J205"")"),0.0)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IFERROR(__xludf.DUMMYFUNCTION("IMPORTRANGE(""https://docs.google.com/spreadsheets/d/1SX6NBoVAgQJ6U1MVXOaj8PK2l7WJ3RER9xtqwdhxkhw/edit?usp=sharing"",""ราชบุรี!J206"")"),0.0)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IFERROR(__xludf.DUMMYFUNCTION("IMPORTRANGE(""https://docs.google.com/spreadsheets/d/1SX6NBoVAgQJ6U1MVXOaj8PK2l7WJ3RER9xtqwdhxkhw/edit?usp=sharing"",""ราชบุรี!J207"")"),0.0)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IFERROR(__xludf.DUMMYFUNCTION("IMPORTRANGE(""https://docs.google.com/spreadsheets/d/1SX6NBoVAgQJ6U1MVXOaj8PK2l7WJ3RER9xtqwdhxkhw/edit?usp=sharing"",""ราชบุรี!J208"")"),0.0)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IFERROR(__xludf.DUMMYFUNCTION("IMPORTRANGE(""https://docs.google.com/spreadsheets/d/1SX6NBoVAgQJ6U1MVXOaj8PK2l7WJ3RER9xtqwdhxkhw/edit?usp=sharing"",""ราชบุรี!I209"")"),0.0)</f>
        <v>0</v>
      </c>
      <c r="J304" s="238">
        <f>IFERROR(__xludf.DUMMYFUNCTION("IMPORTRANGE(""https://docs.google.com/spreadsheets/d/1SX6NBoVAgQJ6U1MVXOaj8PK2l7WJ3RER9xtqwdhxkhw/edit?usp=sharing"",""ราชบุรี!J209"")"),0.0)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IFERROR(__xludf.DUMMYFUNCTION("IMPORTRANGE(""https://docs.google.com/spreadsheets/d/1SX6NBoVAgQJ6U1MVXOaj8PK2l7WJ3RER9xtqwdhxkhw/edit?usp=sharing"",""ราชบุรี!I211"")"),0.0)</f>
        <v>0</v>
      </c>
      <c r="J306" s="238">
        <f>IFERROR(__xludf.DUMMYFUNCTION("IMPORTRANGE(""https://docs.google.com/spreadsheets/d/1SX6NBoVAgQJ6U1MVXOaj8PK2l7WJ3RER9xtqwdhxkhw/edit?usp=sharing"",""ราชบุรี!J211"")"),0.0)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IFERROR(__xludf.DUMMYFUNCTION("IMPORTRANGE(""https://docs.google.com/spreadsheets/d/1SX6NBoVAgQJ6U1MVXOaj8PK2l7WJ3RER9xtqwdhxkhw/edit?usp=sharing"",""ราชบุรี!J212"")"),0.0)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IFERROR(__xludf.DUMMYFUNCTION("IMPORTRANGE(""https://docs.google.com/spreadsheets/d/1SX6NBoVAgQJ6U1MVXOaj8PK2l7WJ3RER9xtqwdhxkhw/edit?usp=sharing"",""ราชบุรี!J213"")"),0.0)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IFERROR(__xludf.DUMMYFUNCTION("IMPORTRANGE(""https://docs.google.com/spreadsheets/d/1SX6NBoVAgQJ6U1MVXOaj8PK2l7WJ3RER9xtqwdhxkhw/edit?usp=sharing"",""ราชบุรี!I214"")"),0.0)</f>
        <v>0</v>
      </c>
      <c r="J309" s="366">
        <f>IFERROR(__xludf.DUMMYFUNCTION("IMPORTRANGE(""https://docs.google.com/spreadsheets/d/1SX6NBoVAgQJ6U1MVXOaj8PK2l7WJ3RER9xtqwdhxkhw/edit?usp=sharing"",""ราชบุรี!J214"")"),0.0)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IFERROR(__xludf.DUMMYFUNCTION("IMPORTRANGE(""https://docs.google.com/spreadsheets/d/1Yj_ptqi66GCucihVvJfMjLAmec39IyEx_6qawtMGysU/edit?usp=sharing"",""สบก!DC73"")"),0.0)</f>
        <v>0</v>
      </c>
      <c r="N314" s="203">
        <f>IFERROR(__xludf.DUMMYFUNCTION("IMPORTRANGE(""https://docs.google.com/spreadsheets/d/1Yj_ptqi66GCucihVvJfMjLAmec39IyEx_6qawtMGysU/edit?usp=sharing"",""สบก!DD73"")"),0.0)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IFERROR(__xludf.DUMMYFUNCTION("IMPORTRANGE(""https://docs.google.com/spreadsheets/d/1Yj_ptqi66GCucihVvJfMjLAmec39IyEx_6qawtMGysU/edit?usp=sharing"",""สบก!CY73"")"),0.0)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IFERROR(__xludf.DUMMYFUNCTION("IMPORTRANGE(""https://docs.google.com/spreadsheets/d/1Yj_ptqi66GCucihVvJfMjLAmec39IyEx_6qawtMGysU/edit?usp=sharing"",""สบก!CZ73"")"),0.0)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IFERROR(__xludf.DUMMYFUNCTION("IMPORTRANGE(""https://docs.google.com/spreadsheets/d/1Yj_ptqi66GCucihVvJfMjLAmec39IyEx_6qawtMGysU/edit?usp=sharing"",""สบก!DA73"")"),0.0)</f>
        <v>0</v>
      </c>
      <c r="M318" s="70"/>
      <c r="N318" s="70">
        <f>IFERROR(__xludf.DUMMYFUNCTION("IMPORTRANGE(""https://docs.google.com/spreadsheets/d/1Yj_ptqi66GCucihVvJfMjLAmec39IyEx_6qawtMGysU/edit?usp=sharing"",""สบก!DE73"")"),0.0)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IFERROR(__xludf.DUMMYFUNCTION("IMPORTRANGE(""https://docs.google.com/spreadsheets/d/1SX6NBoVAgQJ6U1MVXOaj8PK2l7WJ3RER9xtqwdhxkhw/edit?usp=sharing"",""ราชบุรี!J220"")"),0.0)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IFERROR(__xludf.DUMMYFUNCTION("IMPORTRANGE(""https://docs.google.com/spreadsheets/d/1SX6NBoVAgQJ6U1MVXOaj8PK2l7WJ3RER9xtqwdhxkhw/edit?usp=sharing"",""ราชบุรี!J221"")"),0.0)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IFERROR(__xludf.DUMMYFUNCTION("IMPORTRANGE(""https://docs.google.com/spreadsheets/d/1SX6NBoVAgQJ6U1MVXOaj8PK2l7WJ3RER9xtqwdhxkhw/edit?usp=sharing"",""ราชบุรี!J222"")"),0.0)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IFERROR(__xludf.DUMMYFUNCTION("IMPORTRANGE(""https://docs.google.com/spreadsheets/d/1SX6NBoVAgQJ6U1MVXOaj8PK2l7WJ3RER9xtqwdhxkhw/edit?usp=sharing"",""ราชบุรี!J223"")"),0.0)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IFERROR(__xludf.DUMMYFUNCTION("IMPORTRANGE(""https://docs.google.com/spreadsheets/d/1SX6NBoVAgQJ6U1MVXOaj8PK2l7WJ3RER9xtqwdhxkhw/edit?usp=sharing"",""ราชบุรี!I224"")"),0.0)</f>
        <v>0</v>
      </c>
      <c r="J324" s="238">
        <f>IFERROR(__xludf.DUMMYFUNCTION("IMPORTRANGE(""https://docs.google.com/spreadsheets/d/1SX6NBoVAgQJ6U1MVXOaj8PK2l7WJ3RER9xtqwdhxkhw/edit?usp=sharing"",""ราชบุรี!J224"")"),0.0)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IFERROR(__xludf.DUMMYFUNCTION("IMPORTRANGE(""https://docs.google.com/spreadsheets/d/1SX6NBoVAgQJ6U1MVXOaj8PK2l7WJ3RER9xtqwdhxkhw/edit?usp=sharing"",""ราชบุรี!J225"")"),0.0)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IFERROR(__xludf.DUMMYFUNCTION("IMPORTRANGE(""https://docs.google.com/spreadsheets/d/1SX6NBoVAgQJ6U1MVXOaj8PK2l7WJ3RER9xtqwdhxkhw/edit?usp=sharing"",""ราชบุรี!J226"")"),0.0)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IFERROR(__xludf.DUMMYFUNCTION("IMPORTRANGE(""https://docs.google.com/spreadsheets/d/1SX6NBoVAgQJ6U1MVXOaj8PK2l7WJ3RER9xtqwdhxkhw/edit?usp=sharing"",""ราชบุรี!I228"")"),220.0)</f>
        <v>220</v>
      </c>
      <c r="J328" s="372">
        <f>IFERROR(__xludf.DUMMYFUNCTION("IMPORTRANGE(""https://docs.google.com/spreadsheets/d/1SX6NBoVAgQJ6U1MVXOaj8PK2l7WJ3RER9xtqwdhxkhw/edit?usp=sharing"",""ราชบุรี!J228"")"),37.0)</f>
        <v>37</v>
      </c>
      <c r="K328" s="350">
        <f>IF(I328&gt;0,J328*100/I328,0)</f>
        <v>16.81818182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955800</v>
      </c>
      <c r="M329" s="183">
        <f t="shared" si="99"/>
        <v>493060</v>
      </c>
      <c r="N329" s="183">
        <f t="shared" si="99"/>
        <v>381358</v>
      </c>
      <c r="O329" s="182">
        <f t="shared" ref="O329:O331" si="101">IF(L329&gt;0,N329*100/L329,0)</f>
        <v>39.89935133</v>
      </c>
      <c r="P329" s="182">
        <f t="shared" ref="P329:P331" si="102">IF(M329&gt;0,N329*100/M329,0)</f>
        <v>77.34515069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955800</v>
      </c>
      <c r="M331" s="188">
        <f t="shared" si="103"/>
        <v>493060</v>
      </c>
      <c r="N331" s="188">
        <f t="shared" si="103"/>
        <v>381358</v>
      </c>
      <c r="O331" s="187">
        <f t="shared" si="101"/>
        <v>39.89935133</v>
      </c>
      <c r="P331" s="187">
        <f t="shared" si="102"/>
        <v>77.34515069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921300</v>
      </c>
      <c r="M333" s="200">
        <f>IFERROR(__xludf.DUMMYFUNCTION("IMPORTRANGE(""https://docs.google.com/spreadsheets/d/1Yj_ptqi66GCucihVvJfMjLAmec39IyEx_6qawtMGysU/edit?usp=sharing"",""สบก!DL73"")"),493060.0)</f>
        <v>493060</v>
      </c>
      <c r="N333" s="203">
        <f>IFERROR(__xludf.DUMMYFUNCTION("IMPORTRANGE(""https://docs.google.com/spreadsheets/d/1Yj_ptqi66GCucihVvJfMjLAmec39IyEx_6qawtMGysU/edit?usp=sharing"",""สบก!DM73"")"),346858.0)</f>
        <v>346858</v>
      </c>
      <c r="O333" s="203">
        <f>IF(L333&gt;0,N333*100/L333,0)</f>
        <v>37.64875719</v>
      </c>
      <c r="P333" s="203">
        <f>IF(M333&gt;0,N333*100/M333,0)</f>
        <v>70.34803067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IFERROR(__xludf.DUMMYFUNCTION("IMPORTRANGE(""https://docs.google.com/spreadsheets/d/1Yj_ptqi66GCucihVvJfMjLAmec39IyEx_6qawtMGysU/edit?usp=sharing"",""สบก!DH73"")"),564000.0)</f>
        <v>564000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IFERROR(__xludf.DUMMYFUNCTION("IMPORTRANGE(""https://docs.google.com/spreadsheets/d/1Yj_ptqi66GCucihVvJfMjLAmec39IyEx_6qawtMGysU/edit?usp=sharing"",""สบก!DI73"")"),357300.0)</f>
        <v>357300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IFERROR(__xludf.DUMMYFUNCTION("IMPORTRANGE(""https://docs.google.com/spreadsheets/d/1Yj_ptqi66GCucihVvJfMjLAmec39IyEx_6qawtMGysU/edit?usp=sharing"",""สบก!DJ73"")"),34500.0)</f>
        <v>34500</v>
      </c>
      <c r="M337" s="70"/>
      <c r="N337" s="70">
        <f>IFERROR(__xludf.DUMMYFUNCTION("IMPORTRANGE(""https://docs.google.com/spreadsheets/d/1Yj_ptqi66GCucihVvJfMjLAmec39IyEx_6qawtMGysU/edit?usp=sharing"",""สบก!DN73"")"),34500.0)</f>
        <v>34500</v>
      </c>
      <c r="O337" s="70">
        <f>IF(L337&gt;0,N337*100/L337,0)</f>
        <v>100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IFERROR(__xludf.DUMMYFUNCTION("IMPORTRANGE(""https://docs.google.com/spreadsheets/d/1SX6NBoVAgQJ6U1MVXOaj8PK2l7WJ3RER9xtqwdhxkhw/edit?usp=sharing"",""ราชบุรี!I234"")"),0.0)</f>
        <v>0</v>
      </c>
      <c r="J339" s="222">
        <f>IFERROR(__xludf.DUMMYFUNCTION("IMPORTRANGE(""https://docs.google.com/spreadsheets/d/1SX6NBoVAgQJ6U1MVXOaj8PK2l7WJ3RER9xtqwdhxkhw/edit?usp=sharing"",""ราชบุรี!J234"")"),51.0)</f>
        <v>51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IFERROR(__xludf.DUMMYFUNCTION("IMPORTRANGE(""https://docs.google.com/spreadsheets/d/1SX6NBoVAgQJ6U1MVXOaj8PK2l7WJ3RER9xtqwdhxkhw/edit?usp=sharing"",""ราชบุรี!I235"")"),2000.0)</f>
        <v>2000</v>
      </c>
      <c r="J340" s="222">
        <f>IFERROR(__xludf.DUMMYFUNCTION("IMPORTRANGE(""https://docs.google.com/spreadsheets/d/1SX6NBoVAgQJ6U1MVXOaj8PK2l7WJ3RER9xtqwdhxkhw/edit?usp=sharing"",""ราชบุรี!J235"")"),830.64)</f>
        <v>830.64</v>
      </c>
      <c r="K340" s="375">
        <f t="shared" si="104"/>
        <v>41.532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IFERROR(__xludf.DUMMYFUNCTION("IMPORTRANGE(""https://docs.google.com/spreadsheets/d/1SX6NBoVAgQJ6U1MVXOaj8PK2l7WJ3RER9xtqwdhxkhw/edit?usp=sharing"",""ราชบุรี!I236"")"),220.0)</f>
        <v>220</v>
      </c>
      <c r="J341" s="222">
        <f>IFERROR(__xludf.DUMMYFUNCTION("IMPORTRANGE(""https://docs.google.com/spreadsheets/d/1SX6NBoVAgQJ6U1MVXOaj8PK2l7WJ3RER9xtqwdhxkhw/edit?usp=sharing"",""ราชบุรี!J236"")"),37.0)</f>
        <v>37</v>
      </c>
      <c r="K341" s="375">
        <f t="shared" si="104"/>
        <v>16.81818182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IFERROR(__xludf.DUMMYFUNCTION("IMPORTRANGE(""https://docs.google.com/spreadsheets/d/1SX6NBoVAgQJ6U1MVXOaj8PK2l7WJ3RER9xtqwdhxkhw/edit?usp=sharing"",""ราชบุรี!I237"")"),0.0)</f>
        <v>0</v>
      </c>
      <c r="J342" s="222">
        <f>IFERROR(__xludf.DUMMYFUNCTION("IMPORTRANGE(""https://docs.google.com/spreadsheets/d/1SX6NBoVAgQJ6U1MVXOaj8PK2l7WJ3RER9xtqwdhxkhw/edit?usp=sharing"",""ราชบุรี!J237"")"),375.40999999999997)</f>
        <v>375.41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IFERROR(__xludf.DUMMYFUNCTION("IMPORTRANGE(""https://docs.google.com/spreadsheets/d/1SX6NBoVAgQJ6U1MVXOaj8PK2l7WJ3RER9xtqwdhxkhw/edit?usp=sharing"",""ราชบุรี!I238"")"),220.0)</f>
        <v>220</v>
      </c>
      <c r="J343" s="222">
        <f>IFERROR(__xludf.DUMMYFUNCTION("IMPORTRANGE(""https://docs.google.com/spreadsheets/d/1SX6NBoVAgQJ6U1MVXOaj8PK2l7WJ3RER9xtqwdhxkhw/edit?usp=sharing"",""ราชบุรี!J238"")"),0.0)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IFERROR(__xludf.DUMMYFUNCTION("IMPORTRANGE(""https://docs.google.com/spreadsheets/d/1SX6NBoVAgQJ6U1MVXOaj8PK2l7WJ3RER9xtqwdhxkhw/edit?usp=sharing"",""ราชบุรี!I239"")"),0.0)</f>
        <v>0</v>
      </c>
      <c r="J344" s="222">
        <f>IFERROR(__xludf.DUMMYFUNCTION("IMPORTRANGE(""https://docs.google.com/spreadsheets/d/1SX6NBoVAgQJ6U1MVXOaj8PK2l7WJ3RER9xtqwdhxkhw/edit?usp=sharing"",""ราชบุรี!J239"")"),0.0)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IFERROR(__xludf.DUMMYFUNCTION("IMPORTRANGE(""https://docs.google.com/spreadsheets/d/1SX6NBoVAgQJ6U1MVXOaj8PK2l7WJ3RER9xtqwdhxkhw/edit?usp=sharing"",""ราชบุรี!I240"")"),220.0)</f>
        <v>220</v>
      </c>
      <c r="J345" s="222">
        <f>IFERROR(__xludf.DUMMYFUNCTION("IMPORTRANGE(""https://docs.google.com/spreadsheets/d/1SX6NBoVAgQJ6U1MVXOaj8PK2l7WJ3RER9xtqwdhxkhw/edit?usp=sharing"",""ราชบุรี!J240"")"),37.0)</f>
        <v>37</v>
      </c>
      <c r="K345" s="375">
        <f t="shared" si="104"/>
        <v>16.81818182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IFERROR(__xludf.DUMMYFUNCTION("IMPORTRANGE(""https://docs.google.com/spreadsheets/d/1SX6NBoVAgQJ6U1MVXOaj8PK2l7WJ3RER9xtqwdhxkhw/edit?usp=sharing"",""ราชบุรี!I241"")"),0.0)</f>
        <v>0</v>
      </c>
      <c r="J346" s="222">
        <f>IFERROR(__xludf.DUMMYFUNCTION("IMPORTRANGE(""https://docs.google.com/spreadsheets/d/1SX6NBoVAgQJ6U1MVXOaj8PK2l7WJ3RER9xtqwdhxkhw/edit?usp=sharing"",""ราชบุรี!J241"")"),357.78999999999996)</f>
        <v>357.79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IFERROR(__xludf.DUMMYFUNCTION("IMPORTRANGE(""https://docs.google.com/spreadsheets/d/1SX6NBoVAgQJ6U1MVXOaj8PK2l7WJ3RER9xtqwdhxkhw/edit?usp=sharing"",""ราชบุรี!L242"")"),1595132.0)</f>
        <v>1595132</v>
      </c>
      <c r="M347" s="391"/>
      <c r="N347" s="391">
        <f>IFERROR(__xludf.DUMMYFUNCTION("IMPORTRANGE(""https://docs.google.com/spreadsheets/d/1SX6NBoVAgQJ6U1MVXOaj8PK2l7WJ3RER9xtqwdhxkhw/edit?usp=sharing"",""ราชบุรี!M242"")"),249276.94700000001)</f>
        <v>249276.947</v>
      </c>
      <c r="O347" s="391">
        <f>+IF(L347&gt;0,N347*100/L347,0)</f>
        <v>15.62735542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IFERROR(__xludf.DUMMYFUNCTION("IMPORTRANGE(""https://docs.google.com/spreadsheets/d/1SX6NBoVAgQJ6U1MVXOaj8PK2l7WJ3RER9xtqwdhxkhw/edit?usp=sharing"",""ราชบุรี!I244"")"),0.0)</f>
        <v>0</v>
      </c>
      <c r="J349" s="404">
        <f>IFERROR(__xludf.DUMMYFUNCTION("IMPORTRANGE(""https://docs.google.com/spreadsheets/d/1SX6NBoVAgQJ6U1MVXOaj8PK2l7WJ3RER9xtqwdhxkhw/edit?usp=sharing"",""ราชบุรี!J244"")"),0.0)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IFERROR(__xludf.DUMMYFUNCTION("IMPORTRANGE(""https://docs.google.com/spreadsheets/d/1SX6NBoVAgQJ6U1MVXOaj8PK2l7WJ3RER9xtqwdhxkhw/edit?usp=sharing"",""ราชบุรี!L244"")"),0.0)</f>
        <v>0</v>
      </c>
      <c r="M349" s="406"/>
      <c r="N349" s="406">
        <f>IFERROR(__xludf.DUMMYFUNCTION("IMPORTRANGE(""https://docs.google.com/spreadsheets/d/1SX6NBoVAgQJ6U1MVXOaj8PK2l7WJ3RER9xtqwdhxkhw/edit?usp=sharing"",""ราชบุรี!M244"")"),0.0)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IFERROR(__xludf.DUMMYFUNCTION("IMPORTRANGE(""https://docs.google.com/spreadsheets/d/1SX6NBoVAgQJ6U1MVXOaj8PK2l7WJ3RER9xtqwdhxkhw/edit?usp=sharing"",""ราชบุรี!I245"")"),0.0)</f>
        <v>0</v>
      </c>
      <c r="J350" s="404">
        <f>IFERROR(__xludf.DUMMYFUNCTION("IMPORTRANGE(""https://docs.google.com/spreadsheets/d/1SX6NBoVAgQJ6U1MVXOaj8PK2l7WJ3RER9xtqwdhxkhw/edit?usp=sharing"",""ราชบุรี!J245"")"),0.0)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IFERROR(__xludf.DUMMYFUNCTION("IMPORTRANGE(""https://docs.google.com/spreadsheets/d/1SX6NBoVAgQJ6U1MVXOaj8PK2l7WJ3RER9xtqwdhxkhw/edit?usp=sharing"",""ราชบุรี!L246"")"),0.0)</f>
        <v>0</v>
      </c>
      <c r="M351" s="197"/>
      <c r="N351" s="197">
        <f>IFERROR(__xludf.DUMMYFUNCTION("IMPORTRANGE(""https://docs.google.com/spreadsheets/d/1SX6NBoVAgQJ6U1MVXOaj8PK2l7WJ3RER9xtqwdhxkhw/edit?usp=sharing"",""ราชบุรี!M246"")"),0.0)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IFERROR(__xludf.DUMMYFUNCTION("IMPORTRANGE(""https://docs.google.com/spreadsheets/d/1SX6NBoVAgQJ6U1MVXOaj8PK2l7WJ3RER9xtqwdhxkhw/edit?usp=sharing"",""ราชบุรี!L247"")"),0.0)</f>
        <v>0</v>
      </c>
      <c r="M352" s="198"/>
      <c r="N352" s="197">
        <f>IFERROR(__xludf.DUMMYFUNCTION("IMPORTRANGE(""https://docs.google.com/spreadsheets/d/1SX6NBoVAgQJ6U1MVXOaj8PK2l7WJ3RER9xtqwdhxkhw/edit?usp=sharing"",""ราชบุรี!M247"")"),0.0)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IFERROR(__xludf.DUMMYFUNCTION("IMPORTRANGE(""https://docs.google.com/spreadsheets/d/1SX6NBoVAgQJ6U1MVXOaj8PK2l7WJ3RER9xtqwdhxkhw/edit?usp=sharing"",""ราชบุรี!L248"")"),0.0)</f>
        <v>0</v>
      </c>
      <c r="M353" s="203"/>
      <c r="N353" s="203">
        <f>IFERROR(__xludf.DUMMYFUNCTION("IMPORTRANGE(""https://docs.google.com/spreadsheets/d/1SX6NBoVAgQJ6U1MVXOaj8PK2l7WJ3RER9xtqwdhxkhw/edit?usp=sharing"",""ราชบุรี!M248"")"),0.0)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IFERROR(__xludf.DUMMYFUNCTION("IMPORTRANGE(""https://docs.google.com/spreadsheets/d/1SX6NBoVAgQJ6U1MVXOaj8PK2l7WJ3RER9xtqwdhxkhw/edit?usp=sharing"",""ราชบุรี!L249"")"),0.0)</f>
        <v>0</v>
      </c>
      <c r="M354" s="203"/>
      <c r="N354" s="200">
        <f>IFERROR(__xludf.DUMMYFUNCTION("IMPORTRANGE(""https://docs.google.com/spreadsheets/d/1SX6NBoVAgQJ6U1MVXOaj8PK2l7WJ3RER9xtqwdhxkhw/edit?usp=sharing"",""ราชบุรี!M249"")"),0.0)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IFERROR(__xludf.DUMMYFUNCTION("IMPORTRANGE(""https://docs.google.com/spreadsheets/d/1SX6NBoVAgQJ6U1MVXOaj8PK2l7WJ3RER9xtqwdhxkhw/edit?usp=sharing"",""ราชบุรี!M250"")"),0.0)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IFERROR(__xludf.DUMMYFUNCTION("IMPORTRANGE(""https://docs.google.com/spreadsheets/d/1SX6NBoVAgQJ6U1MVXOaj8PK2l7WJ3RER9xtqwdhxkhw/edit?usp=sharing"",""ราชบุรี!M251"")"),0.0)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IFERROR(__xludf.DUMMYFUNCTION("IMPORTRANGE(""https://docs.google.com/spreadsheets/d/1SX6NBoVAgQJ6U1MVXOaj8PK2l7WJ3RER9xtqwdhxkhw/edit?usp=sharing"",""ราชบุรี!M252"")"),0.0)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IFERROR(__xludf.DUMMYFUNCTION("IMPORTRANGE(""https://docs.google.com/spreadsheets/d/1SX6NBoVAgQJ6U1MVXOaj8PK2l7WJ3RER9xtqwdhxkhw/edit?usp=sharing"",""ราชบุรี!M253"")"),0.0)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IFERROR(__xludf.DUMMYFUNCTION("IMPORTRANGE(""https://docs.google.com/spreadsheets/d/1SX6NBoVAgQJ6U1MVXOaj8PK2l7WJ3RER9xtqwdhxkhw/edit?usp=sharing"",""ราชบุรี!J255"")"),0.0)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IFERROR(__xludf.DUMMYFUNCTION("IMPORTRANGE(""https://docs.google.com/spreadsheets/d/1SX6NBoVAgQJ6U1MVXOaj8PK2l7WJ3RER9xtqwdhxkhw/edit?usp=sharing"",""ราชบุรี!J256"")"),0.0)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IFERROR(__xludf.DUMMYFUNCTION("IMPORTRANGE(""https://docs.google.com/spreadsheets/d/1SX6NBoVAgQJ6U1MVXOaj8PK2l7WJ3RER9xtqwdhxkhw/edit?usp=sharing"",""ราชบุรี!J257"")"),0.0)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IFERROR(__xludf.DUMMYFUNCTION("IMPORTRANGE(""https://docs.google.com/spreadsheets/d/1SX6NBoVAgQJ6U1MVXOaj8PK2l7WJ3RER9xtqwdhxkhw/edit?usp=sharing"",""ราชบุรี!J258"")"),0.0)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IFERROR(__xludf.DUMMYFUNCTION("IMPORTRANGE(""https://docs.google.com/spreadsheets/d/1SX6NBoVAgQJ6U1MVXOaj8PK2l7WJ3RER9xtqwdhxkhw/edit?usp=sharing"",""ราชบุรี!J166"")"),0.0)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IFERROR(__xludf.DUMMYFUNCTION("IMPORTRANGE(""https://docs.google.com/spreadsheets/d/1SX6NBoVAgQJ6U1MVXOaj8PK2l7WJ3RER9xtqwdhxkhw/edit?usp=sharing"",""ราชบุรี!J166"")"),0.0)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IFERROR(__xludf.DUMMYFUNCTION("IMPORTRANGE(""https://docs.google.com/spreadsheets/d/1SX6NBoVAgQJ6U1MVXOaj8PK2l7WJ3RER9xtqwdhxkhw/edit?usp=sharing"",""ราชบุรี!J166"")"),0.0)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IFERROR(__xludf.DUMMYFUNCTION("IMPORTRANGE(""https://docs.google.com/spreadsheets/d/1SX6NBoVAgQJ6U1MVXOaj8PK2l7WJ3RER9xtqwdhxkhw/edit?usp=sharing"",""ราชบุรี!J166"")"),0.0)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IFERROR(__xludf.DUMMYFUNCTION("IMPORTRANGE(""https://docs.google.com/spreadsheets/d/1SX6NBoVAgQJ6U1MVXOaj8PK2l7WJ3RER9xtqwdhxkhw/edit?usp=sharing"",""ราชบุรี!I263"")"),0.0)</f>
        <v>0</v>
      </c>
      <c r="J368" s="222">
        <f>IFERROR(__xludf.DUMMYFUNCTION("IMPORTRANGE(""https://docs.google.com/spreadsheets/d/1SX6NBoVAgQJ6U1MVXOaj8PK2l7WJ3RER9xtqwdhxkhw/edit?usp=sharing"",""ราชบุรี!J263"")"),0.0)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IFERROR(__xludf.DUMMYFUNCTION("IMPORTRANGE(""https://docs.google.com/spreadsheets/d/1SX6NBoVAgQJ6U1MVXOaj8PK2l7WJ3RER9xtqwdhxkhw/edit?usp=sharing"",""ราชบุรี!I164"")"),0.0)</f>
        <v>0</v>
      </c>
      <c r="J369" s="238">
        <f>IFERROR(__xludf.DUMMYFUNCTION("IMPORTRANGE(""https://docs.google.com/spreadsheets/d/1SX6NBoVAgQJ6U1MVXOaj8PK2l7WJ3RER9xtqwdhxkhw/edit?usp=sharing"",""ราชบุรี!J164"")"),0.0)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IFERROR(__xludf.DUMMYFUNCTION("IMPORTRANGE(""https://docs.google.com/spreadsheets/d/1SX6NBoVAgQJ6U1MVXOaj8PK2l7WJ3RER9xtqwdhxkhw/edit?usp=sharing"",""ราชบุรี!I265"")"),0.0)</f>
        <v>0</v>
      </c>
      <c r="J370" s="238">
        <f>IFERROR(__xludf.DUMMYFUNCTION("IMPORTRANGE(""https://docs.google.com/spreadsheets/d/1SX6NBoVAgQJ6U1MVXOaj8PK2l7WJ3RER9xtqwdhxkhw/edit?usp=sharing"",""ราชบุรี!J265"")"),0.0)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IFERROR(__xludf.DUMMYFUNCTION("IMPORTRANGE(""https://docs.google.com/spreadsheets/d/1SX6NBoVAgQJ6U1MVXOaj8PK2l7WJ3RER9xtqwdhxkhw/edit?usp=sharing"",""ราชบุรี!I164"")"),0.0)</f>
        <v>0</v>
      </c>
      <c r="J371" s="223">
        <f>IFERROR(__xludf.DUMMYFUNCTION("IMPORTRANGE(""https://docs.google.com/spreadsheets/d/1SX6NBoVAgQJ6U1MVXOaj8PK2l7WJ3RER9xtqwdhxkhw/edit?usp=sharing"",""ราชบุรี!J164"")"),0.0)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IFERROR(__xludf.DUMMYFUNCTION("IMPORTRANGE(""https://docs.google.com/spreadsheets/d/1SX6NBoVAgQJ6U1MVXOaj8PK2l7WJ3RER9xtqwdhxkhw/edit?usp=sharing"",""ราชบุรี!I267"")"),0.0)</f>
        <v>0</v>
      </c>
      <c r="J372" s="223">
        <f>IFERROR(__xludf.DUMMYFUNCTION("IMPORTRANGE(""https://docs.google.com/spreadsheets/d/1SX6NBoVAgQJ6U1MVXOaj8PK2l7WJ3RER9xtqwdhxkhw/edit?usp=sharing"",""ราชบุรี!J267"")"),0.0)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IFERROR(__xludf.DUMMYFUNCTION("IMPORTRANGE(""https://docs.google.com/spreadsheets/d/1SX6NBoVAgQJ6U1MVXOaj8PK2l7WJ3RER9xtqwdhxkhw/edit?usp=sharing"",""ราชบุรี!I164"")"),0.0)</f>
        <v>0</v>
      </c>
      <c r="J373" s="238">
        <f>IFERROR(__xludf.DUMMYFUNCTION("IMPORTRANGE(""https://docs.google.com/spreadsheets/d/1SX6NBoVAgQJ6U1MVXOaj8PK2l7WJ3RER9xtqwdhxkhw/edit?usp=sharing"",""ราชบุรี!J164"")"),0.0)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IFERROR(__xludf.DUMMYFUNCTION("IMPORTRANGE(""https://docs.google.com/spreadsheets/d/1SX6NBoVAgQJ6U1MVXOaj8PK2l7WJ3RER9xtqwdhxkhw/edit?usp=sharing"",""ราชบุรี!I164"")"),0.0)</f>
        <v>0</v>
      </c>
      <c r="J374" s="222">
        <f>IFERROR(__xludf.DUMMYFUNCTION("IMPORTRANGE(""https://docs.google.com/spreadsheets/d/1SX6NBoVAgQJ6U1MVXOaj8PK2l7WJ3RER9xtqwdhxkhw/edit?usp=sharing"",""ราชบุรี!J164"")"),0.0)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IFERROR(__xludf.DUMMYFUNCTION("IMPORTRANGE(""https://docs.google.com/spreadsheets/d/1SX6NBoVAgQJ6U1MVXOaj8PK2l7WJ3RER9xtqwdhxkhw/edit?usp=sharing"",""ราชบุรี!I270"")"),0.0)</f>
        <v>0</v>
      </c>
      <c r="J375" s="222">
        <f>IFERROR(__xludf.DUMMYFUNCTION("IMPORTRANGE(""https://docs.google.com/spreadsheets/d/1SX6NBoVAgQJ6U1MVXOaj8PK2l7WJ3RER9xtqwdhxkhw/edit?usp=sharing"",""ราชบุรี!J270"")"),0.0)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IFERROR(__xludf.DUMMYFUNCTION("IMPORTRANGE(""https://docs.google.com/spreadsheets/d/1SX6NBoVAgQJ6U1MVXOaj8PK2l7WJ3RER9xtqwdhxkhw/edit?usp=sharing"",""ราชบุรี!I271"")"),0.0)</f>
        <v>0</v>
      </c>
      <c r="J376" s="223">
        <f>IFERROR(__xludf.DUMMYFUNCTION("IMPORTRANGE(""https://docs.google.com/spreadsheets/d/1SX6NBoVAgQJ6U1MVXOaj8PK2l7WJ3RER9xtqwdhxkhw/edit?usp=sharing"",""ราชบุรี!J271"")"),0.0)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IFERROR(__xludf.DUMMYFUNCTION("IMPORTRANGE(""https://docs.google.com/spreadsheets/d/1SX6NBoVAgQJ6U1MVXOaj8PK2l7WJ3RER9xtqwdhxkhw/edit?usp=sharing"",""ราชบุรี!I272"")"),0.0)</f>
        <v>0</v>
      </c>
      <c r="J377" s="238">
        <f>IFERROR(__xludf.DUMMYFUNCTION("IMPORTRANGE(""https://docs.google.com/spreadsheets/d/1SX6NBoVAgQJ6U1MVXOaj8PK2l7WJ3RER9xtqwdhxkhw/edit?usp=sharing"",""ราชบุรี!J272"")"),0.0)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IFERROR(__xludf.DUMMYFUNCTION("IMPORTRANGE(""https://docs.google.com/spreadsheets/d/1SX6NBoVAgQJ6U1MVXOaj8PK2l7WJ3RER9xtqwdhxkhw/edit?usp=sharing"",""ราชบุรี!J273"")"),0.0)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IFERROR(__xludf.DUMMYFUNCTION("IMPORTRANGE(""https://docs.google.com/spreadsheets/d/1SX6NBoVAgQJ6U1MVXOaj8PK2l7WJ3RER9xtqwdhxkhw/edit?usp=sharing"",""ราชบุรี!J274"")"),0.0)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IFERROR(__xludf.DUMMYFUNCTION("IMPORTRANGE(""https://docs.google.com/spreadsheets/d/1SX6NBoVAgQJ6U1MVXOaj8PK2l7WJ3RER9xtqwdhxkhw/edit?usp=sharing"",""ราชบุรี!I275"")"),1000.0)</f>
        <v>1000</v>
      </c>
      <c r="J380" s="404">
        <f>IFERROR(__xludf.DUMMYFUNCTION("IMPORTRANGE(""https://docs.google.com/spreadsheets/d/1SX6NBoVAgQJ6U1MVXOaj8PK2l7WJ3RER9xtqwdhxkhw/edit?usp=sharing"",""ราชบุรี!J275"")"),0.0)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IFERROR(__xludf.DUMMYFUNCTION("IMPORTRANGE(""https://docs.google.com/spreadsheets/d/1SX6NBoVAgQJ6U1MVXOaj8PK2l7WJ3RER9xtqwdhxkhw/edit?usp=sharing"",""ราชบุรี!L275"")"),1028520.0)</f>
        <v>1028520</v>
      </c>
      <c r="M380" s="406"/>
      <c r="N380" s="406">
        <f>IFERROR(__xludf.DUMMYFUNCTION("IMPORTRANGE(""https://docs.google.com/spreadsheets/d/1SX6NBoVAgQJ6U1MVXOaj8PK2l7WJ3RER9xtqwdhxkhw/edit?usp=sharing"",""ราชบุรี!M275"")"),167231.377)</f>
        <v>167231.377</v>
      </c>
      <c r="O380" s="406">
        <f>+IF(L380&gt;0,N380*100/L380,0)</f>
        <v>16.25941907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IFERROR(__xludf.DUMMYFUNCTION("IMPORTRANGE(""https://docs.google.com/spreadsheets/d/1SX6NBoVAgQJ6U1MVXOaj8PK2l7WJ3RER9xtqwdhxkhw/edit?usp=sharing"",""ราชบุรี!I276"")"),100.0)</f>
        <v>100</v>
      </c>
      <c r="J381" s="404">
        <f>IFERROR(__xludf.DUMMYFUNCTION("IMPORTRANGE(""https://docs.google.com/spreadsheets/d/1SX6NBoVAgQJ6U1MVXOaj8PK2l7WJ3RER9xtqwdhxkhw/edit?usp=sharing"",""ราชบุรี!J276"")"),100.0)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IFERROR(__xludf.DUMMYFUNCTION("IMPORTRANGE(""https://docs.google.com/spreadsheets/d/1SX6NBoVAgQJ6U1MVXOaj8PK2l7WJ3RER9xtqwdhxkhw/edit?usp=sharing"",""ราชบุรี!L277"")"),0.0)</f>
        <v>0</v>
      </c>
      <c r="M382" s="197"/>
      <c r="N382" s="197">
        <f>IFERROR(__xludf.DUMMYFUNCTION("IMPORTRANGE(""https://docs.google.com/spreadsheets/d/1SX6NBoVAgQJ6U1MVXOaj8PK2l7WJ3RER9xtqwdhxkhw/edit?usp=sharing"",""ราชบุรี!M277"")"),0.0)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IFERROR(__xludf.DUMMYFUNCTION("IMPORTRANGE(""https://docs.google.com/spreadsheets/d/1SX6NBoVAgQJ6U1MVXOaj8PK2l7WJ3RER9xtqwdhxkhw/edit?usp=sharing"",""ราชบุรี!L278"")"),1028520.0)</f>
        <v>1028520</v>
      </c>
      <c r="M383" s="198"/>
      <c r="N383" s="198">
        <f>IFERROR(__xludf.DUMMYFUNCTION("IMPORTRANGE(""https://docs.google.com/spreadsheets/d/1SX6NBoVAgQJ6U1MVXOaj8PK2l7WJ3RER9xtqwdhxkhw/edit?usp=sharing"",""ราชบุรี!M278"")"),167231.377)</f>
        <v>167231.377</v>
      </c>
      <c r="O383" s="198">
        <f t="shared" si="110"/>
        <v>16.25941907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IFERROR(__xludf.DUMMYFUNCTION("IMPORTRANGE(""https://docs.google.com/spreadsheets/d/1SX6NBoVAgQJ6U1MVXOaj8PK2l7WJ3RER9xtqwdhxkhw/edit?usp=sharing"",""ราชบุรี!L279"")"),0.0)</f>
        <v>0</v>
      </c>
      <c r="M384" s="203"/>
      <c r="N384" s="203">
        <f>IFERROR(__xludf.DUMMYFUNCTION("IMPORTRANGE(""https://docs.google.com/spreadsheets/d/1SX6NBoVAgQJ6U1MVXOaj8PK2l7WJ3RER9xtqwdhxkhw/edit?usp=sharing"",""ราชบุรี!M279"")"),0.0)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IFERROR(__xludf.DUMMYFUNCTION("IMPORTRANGE(""https://docs.google.com/spreadsheets/d/1SX6NBoVAgQJ6U1MVXOaj8PK2l7WJ3RER9xtqwdhxkhw/edit?usp=sharing"",""ราชบุรี!L280"")"),1028520.0)</f>
        <v>1028520</v>
      </c>
      <c r="M385" s="203"/>
      <c r="N385" s="200">
        <f>IFERROR(__xludf.DUMMYFUNCTION("IMPORTRANGE(""https://docs.google.com/spreadsheets/d/1SX6NBoVAgQJ6U1MVXOaj8PK2l7WJ3RER9xtqwdhxkhw/edit?usp=sharing"",""ราชบุรี!M280"")"),167231.377)</f>
        <v>167231.377</v>
      </c>
      <c r="O385" s="203">
        <f t="shared" si="110"/>
        <v>16.25941907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IFERROR(__xludf.DUMMYFUNCTION("IMPORTRANGE(""https://docs.google.com/spreadsheets/d/1SX6NBoVAgQJ6U1MVXOaj8PK2l7WJ3RER9xtqwdhxkhw/edit?usp=sharing"",""ราชบุรี!M281"")"),121130.0)</f>
        <v>121130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IFERROR(__xludf.DUMMYFUNCTION("IMPORTRANGE(""https://docs.google.com/spreadsheets/d/1SX6NBoVAgQJ6U1MVXOaj8PK2l7WJ3RER9xtqwdhxkhw/edit?usp=sharing"",""ราชบุรี!M282"")"),0.0)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IFERROR(__xludf.DUMMYFUNCTION("IMPORTRANGE(""https://docs.google.com/spreadsheets/d/1SX6NBoVAgQJ6U1MVXOaj8PK2l7WJ3RER9xtqwdhxkhw/edit?usp=sharing"",""ราชบุรี!M283"")"),28700.0)</f>
        <v>28700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IFERROR(__xludf.DUMMYFUNCTION("IMPORTRANGE(""https://docs.google.com/spreadsheets/d/1SX6NBoVAgQJ6U1MVXOaj8PK2l7WJ3RER9xtqwdhxkhw/edit?usp=sharing"",""ราชบุรี!M284"")"),17401.377)</f>
        <v>17401.377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IFERROR(__xludf.DUMMYFUNCTION("IMPORTRANGE(""https://docs.google.com/spreadsheets/d/1SX6NBoVAgQJ6U1MVXOaj8PK2l7WJ3RER9xtqwdhxkhw/edit?usp=sharing"",""ราชบุรี!J286"")"),0.0)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IFERROR(__xludf.DUMMYFUNCTION("IMPORTRANGE(""https://docs.google.com/spreadsheets/d/1SX6NBoVAgQJ6U1MVXOaj8PK2l7WJ3RER9xtqwdhxkhw/edit?usp=sharing"",""ราชบุรี!J287"")"),1.0)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IFERROR(__xludf.DUMMYFUNCTION("IMPORTRANGE(""https://docs.google.com/spreadsheets/d/1SX6NBoVAgQJ6U1MVXOaj8PK2l7WJ3RER9xtqwdhxkhw/edit?usp=sharing"",""ราชบุรี!J288"")"),1.0)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IFERROR(__xludf.DUMMYFUNCTION("IMPORTRANGE(""https://docs.google.com/spreadsheets/d/1SX6NBoVAgQJ6U1MVXOaj8PK2l7WJ3RER9xtqwdhxkhw/edit?usp=sharing"",""ราชบุรี!J289"")"),1.0)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IFERROR(__xludf.DUMMYFUNCTION("IMPORTRANGE(""https://docs.google.com/spreadsheets/d/1SX6NBoVAgQJ6U1MVXOaj8PK2l7WJ3RER9xtqwdhxkhw/edit?usp=sharing"",""ราชบุรี!I291"")"),100.0)</f>
        <v>100</v>
      </c>
      <c r="J396" s="232">
        <f>IFERROR(__xludf.DUMMYFUNCTION("IMPORTRANGE(""https://docs.google.com/spreadsheets/d/1SX6NBoVAgQJ6U1MVXOaj8PK2l7WJ3RER9xtqwdhxkhw/edit?usp=sharing"",""ราชบุรี!J291"")"),100.0)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IFERROR(__xludf.DUMMYFUNCTION("IMPORTRANGE(""https://docs.google.com/spreadsheets/d/1SX6NBoVAgQJ6U1MVXOaj8PK2l7WJ3RER9xtqwdhxkhw/edit?usp=sharing"",""ราชบุรี!I292"")"),1000.0)</f>
        <v>1000</v>
      </c>
      <c r="J397" s="232">
        <f>IFERROR(__xludf.DUMMYFUNCTION("IMPORTRANGE(""https://docs.google.com/spreadsheets/d/1SX6NBoVAgQJ6U1MVXOaj8PK2l7WJ3RER9xtqwdhxkhw/edit?usp=sharing"",""ราชบุรี!J292"")"),0.0)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IFERROR(__xludf.DUMMYFUNCTION("IMPORTRANGE(""https://docs.google.com/spreadsheets/d/1SX6NBoVAgQJ6U1MVXOaj8PK2l7WJ3RER9xtqwdhxkhw/edit?usp=sharing"",""ราชบุรี!I293"")"),100.0)</f>
        <v>100</v>
      </c>
      <c r="J398" s="232">
        <f>IFERROR(__xludf.DUMMYFUNCTION("IMPORTRANGE(""https://docs.google.com/spreadsheets/d/1SX6NBoVAgQJ6U1MVXOaj8PK2l7WJ3RER9xtqwdhxkhw/edit?usp=sharing"",""ราชบุรี!J293"")"),0.0)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IFERROR(__xludf.DUMMYFUNCTION("IMPORTRANGE(""https://docs.google.com/spreadsheets/d/1SX6NBoVAgQJ6U1MVXOaj8PK2l7WJ3RER9xtqwdhxkhw/edit?usp=sharing"",""ราชบุรี!J294"")"),0.0)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IFERROR(__xludf.DUMMYFUNCTION("IMPORTRANGE(""https://docs.google.com/spreadsheets/d/1SX6NBoVAgQJ6U1MVXOaj8PK2l7WJ3RER9xtqwdhxkhw/edit?usp=sharing"",""ราชบุรี!J295"")"),0.0)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IFERROR(__xludf.DUMMYFUNCTION("IMPORTRANGE(""https://docs.google.com/spreadsheets/d/1SX6NBoVAgQJ6U1MVXOaj8PK2l7WJ3RER9xtqwdhxkhw/edit?usp=sharing"",""ราชบุรี!I296"")"),195.0)</f>
        <v>195</v>
      </c>
      <c r="J401" s="404">
        <f>IFERROR(__xludf.DUMMYFUNCTION("IMPORTRANGE(""https://docs.google.com/spreadsheets/d/1SX6NBoVAgQJ6U1MVXOaj8PK2l7WJ3RER9xtqwdhxkhw/edit?usp=sharing"",""ราชบุรี!J296"")"),0.0)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IFERROR(__xludf.DUMMYFUNCTION("IMPORTRANGE(""https://docs.google.com/spreadsheets/d/1SX6NBoVAgQJ6U1MVXOaj8PK2l7WJ3RER9xtqwdhxkhw/edit?usp=sharing"",""ราชบุรี!L296"")"),226530.0)</f>
        <v>226530</v>
      </c>
      <c r="M401" s="406"/>
      <c r="N401" s="406">
        <f>IFERROR(__xludf.DUMMYFUNCTION("IMPORTRANGE(""https://docs.google.com/spreadsheets/d/1SX6NBoVAgQJ6U1MVXOaj8PK2l7WJ3RER9xtqwdhxkhw/edit?usp=sharing"",""ราชบุรี!M296"")"),1544.72)</f>
        <v>1544.72</v>
      </c>
      <c r="O401" s="406">
        <f>+IF(L401&gt;0,N401*100/L401,0)</f>
        <v>0.6819052664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IFERROR(__xludf.DUMMYFUNCTION("IMPORTRANGE(""https://docs.google.com/spreadsheets/d/1SX6NBoVAgQJ6U1MVXOaj8PK2l7WJ3RER9xtqwdhxkhw/edit?usp=sharing"",""ราชบุรี!I297"")"),65.0)</f>
        <v>65</v>
      </c>
      <c r="J402" s="404">
        <f>IFERROR(__xludf.DUMMYFUNCTION("IMPORTRANGE(""https://docs.google.com/spreadsheets/d/1SX6NBoVAgQJ6U1MVXOaj8PK2l7WJ3RER9xtqwdhxkhw/edit?usp=sharing"",""ราชบุรี!J297"")"),0.0)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IFERROR(__xludf.DUMMYFUNCTION("IMPORTRANGE(""https://docs.google.com/spreadsheets/d/1SX6NBoVAgQJ6U1MVXOaj8PK2l7WJ3RER9xtqwdhxkhw/edit?usp=sharing"",""ราชบุรี!L298"")"),0.0)</f>
        <v>0</v>
      </c>
      <c r="M403" s="197"/>
      <c r="N403" s="203">
        <f>IFERROR(__xludf.DUMMYFUNCTION("IMPORTRANGE(""https://docs.google.com/spreadsheets/d/1SX6NBoVAgQJ6U1MVXOaj8PK2l7WJ3RER9xtqwdhxkhw/edit?usp=sharing"",""ราชบุรี!M298"")"),0.0)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IFERROR(__xludf.DUMMYFUNCTION("IMPORTRANGE(""https://docs.google.com/spreadsheets/d/1SX6NBoVAgQJ6U1MVXOaj8PK2l7WJ3RER9xtqwdhxkhw/edit?usp=sharing"",""ราชบุรี!L299"")"),226530.0)</f>
        <v>226530</v>
      </c>
      <c r="M404" s="198"/>
      <c r="N404" s="203">
        <f>IFERROR(__xludf.DUMMYFUNCTION("IMPORTRANGE(""https://docs.google.com/spreadsheets/d/1SX6NBoVAgQJ6U1MVXOaj8PK2l7WJ3RER9xtqwdhxkhw/edit?usp=sharing"",""ราชบุรี!M299"")"),1544.72)</f>
        <v>1544.72</v>
      </c>
      <c r="O404" s="203">
        <f t="shared" si="113"/>
        <v>0.6819052664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IFERROR(__xludf.DUMMYFUNCTION("IMPORTRANGE(""https://docs.google.com/spreadsheets/d/1SX6NBoVAgQJ6U1MVXOaj8PK2l7WJ3RER9xtqwdhxkhw/edit?usp=sharing"",""ราชบุรี!L300"")"),0.0)</f>
        <v>0</v>
      </c>
      <c r="M405" s="203"/>
      <c r="N405" s="203">
        <f>IFERROR(__xludf.DUMMYFUNCTION("IMPORTRANGE(""https://docs.google.com/spreadsheets/d/1SX6NBoVAgQJ6U1MVXOaj8PK2l7WJ3RER9xtqwdhxkhw/edit?usp=sharing"",""ราชบุรี!M300"")"),0.0)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IFERROR(__xludf.DUMMYFUNCTION("IMPORTRANGE(""https://docs.google.com/spreadsheets/d/1SX6NBoVAgQJ6U1MVXOaj8PK2l7WJ3RER9xtqwdhxkhw/edit?usp=sharing"",""ราชบุรี!L301"")"),226530.0)</f>
        <v>226530</v>
      </c>
      <c r="M406" s="203"/>
      <c r="N406" s="203">
        <f>IFERROR(__xludf.DUMMYFUNCTION("IMPORTRANGE(""https://docs.google.com/spreadsheets/d/1SX6NBoVAgQJ6U1MVXOaj8PK2l7WJ3RER9xtqwdhxkhw/edit?usp=sharing"",""ราชบุรี!M301"")"),1544.72)</f>
        <v>1544.72</v>
      </c>
      <c r="O406" s="203">
        <f t="shared" si="113"/>
        <v>0.6819052664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IFERROR(__xludf.DUMMYFUNCTION("IMPORTRANGE(""https://docs.google.com/spreadsheets/d/1SX6NBoVAgQJ6U1MVXOaj8PK2l7WJ3RER9xtqwdhxkhw/edit?usp=sharing"",""ราชบุรี!M302"")"),0.0)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IFERROR(__xludf.DUMMYFUNCTION("IMPORTRANGE(""https://docs.google.com/spreadsheets/d/1SX6NBoVAgQJ6U1MVXOaj8PK2l7WJ3RER9xtqwdhxkhw/edit?usp=sharing"",""ราชบุรี!M303"")"),0.0)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IFERROR(__xludf.DUMMYFUNCTION("IMPORTRANGE(""https://docs.google.com/spreadsheets/d/1SX6NBoVAgQJ6U1MVXOaj8PK2l7WJ3RER9xtqwdhxkhw/edit?usp=sharing"",""ราชบุรี!M304"")"),0.0)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IFERROR(__xludf.DUMMYFUNCTION("IMPORTRANGE(""https://docs.google.com/spreadsheets/d/1SX6NBoVAgQJ6U1MVXOaj8PK2l7WJ3RER9xtqwdhxkhw/edit?usp=sharing"",""ราชบุรี!M305"")"),1544.72)</f>
        <v>1544.72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IFERROR(__xludf.DUMMYFUNCTION("IMPORTRANGE(""https://docs.google.com/spreadsheets/d/1SX6NBoVAgQJ6U1MVXOaj8PK2l7WJ3RER9xtqwdhxkhw/edit?usp=sharing"",""ราชบุรี!J307"")"),0.0)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IFERROR(__xludf.DUMMYFUNCTION("IMPORTRANGE(""https://docs.google.com/spreadsheets/d/1SX6NBoVAgQJ6U1MVXOaj8PK2l7WJ3RER9xtqwdhxkhw/edit?usp=sharing"",""ราชบุรี!J308"")"),1.0)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IFERROR(__xludf.DUMMYFUNCTION("IMPORTRANGE(""https://docs.google.com/spreadsheets/d/1SX6NBoVAgQJ6U1MVXOaj8PK2l7WJ3RER9xtqwdhxkhw/edit?usp=sharing"",""ราชบุรี!J309"")"),0.0)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IFERROR(__xludf.DUMMYFUNCTION("IMPORTRANGE(""https://docs.google.com/spreadsheets/d/1SX6NBoVAgQJ6U1MVXOaj8PK2l7WJ3RER9xtqwdhxkhw/edit?usp=sharing"",""ราชบุรี!J310"")"),0.0)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IFERROR(__xludf.DUMMYFUNCTION("IMPORTRANGE(""https://docs.google.com/spreadsheets/d/1SX6NBoVAgQJ6U1MVXOaj8PK2l7WJ3RER9xtqwdhxkhw/edit?usp=sharing"",""ราชบุรี!I311"")"),65.0)</f>
        <v>65</v>
      </c>
      <c r="J416" s="235">
        <f>IFERROR(__xludf.DUMMYFUNCTION("IMPORTRANGE(""https://docs.google.com/spreadsheets/d/1SX6NBoVAgQJ6U1MVXOaj8PK2l7WJ3RER9xtqwdhxkhw/edit?usp=sharing"",""ราชบุรี!J311"")"),0.0)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IFERROR(__xludf.DUMMYFUNCTION("IMPORTRANGE(""https://docs.google.com/spreadsheets/d/1SX6NBoVAgQJ6U1MVXOaj8PK2l7WJ3RER9xtqwdhxkhw/edit?usp=sharing"",""ราชบุรี!I312"")"),30.0)</f>
        <v>30</v>
      </c>
      <c r="J417" s="425">
        <f>IFERROR(__xludf.DUMMYFUNCTION("IMPORTRANGE(""https://docs.google.com/spreadsheets/d/1SX6NBoVAgQJ6U1MVXOaj8PK2l7WJ3RER9xtqwdhxkhw/edit?usp=sharing"",""ราชบุรี!J312"")"),0.0)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IFERROR(__xludf.DUMMYFUNCTION("IMPORTRANGE(""https://docs.google.com/spreadsheets/d/1SX6NBoVAgQJ6U1MVXOaj8PK2l7WJ3RER9xtqwdhxkhw/edit?usp=sharing"",""ราชบุรี!I313"")"),90.0)</f>
        <v>90</v>
      </c>
      <c r="J418" s="426">
        <f>IFERROR(__xludf.DUMMYFUNCTION("IMPORTRANGE(""https://docs.google.com/spreadsheets/d/1SX6NBoVAgQJ6U1MVXOaj8PK2l7WJ3RER9xtqwdhxkhw/edit?usp=sharing"",""ราชบุรี!J313"")"),0.0)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IFERROR(__xludf.DUMMYFUNCTION("IMPORTRANGE(""https://docs.google.com/spreadsheets/d/1SX6NBoVAgQJ6U1MVXOaj8PK2l7WJ3RER9xtqwdhxkhw/edit?usp=sharing"",""ราชบุรี!I314"")"),30.0)</f>
        <v>30</v>
      </c>
      <c r="J419" s="427">
        <f>IFERROR(__xludf.DUMMYFUNCTION("IMPORTRANGE(""https://docs.google.com/spreadsheets/d/1SX6NBoVAgQJ6U1MVXOaj8PK2l7WJ3RER9xtqwdhxkhw/edit?usp=sharing"",""ราชบุรี!J314"")"),0.0)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IFERROR(__xludf.DUMMYFUNCTION("IMPORTRANGE(""https://docs.google.com/spreadsheets/d/1SX6NBoVAgQJ6U1MVXOaj8PK2l7WJ3RER9xtqwdhxkhw/edit?usp=sharing"",""ราชบุรี!I315"")"),30.0)</f>
        <v>30</v>
      </c>
      <c r="J420" s="427">
        <f>IFERROR(__xludf.DUMMYFUNCTION("IMPORTRANGE(""https://docs.google.com/spreadsheets/d/1SX6NBoVAgQJ6U1MVXOaj8PK2l7WJ3RER9xtqwdhxkhw/edit?usp=sharing"",""ราชบุรี!J315"")"),0.0)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IFERROR(__xludf.DUMMYFUNCTION("IMPORTRANGE(""https://docs.google.com/spreadsheets/d/1SX6NBoVAgQJ6U1MVXOaj8PK2l7WJ3RER9xtqwdhxkhw/edit?usp=sharing"",""ราชบุรี!I316"")"),25.0)</f>
        <v>25</v>
      </c>
      <c r="J421" s="425">
        <f>IFERROR(__xludf.DUMMYFUNCTION("IMPORTRANGE(""https://docs.google.com/spreadsheets/d/1SX6NBoVAgQJ6U1MVXOaj8PK2l7WJ3RER9xtqwdhxkhw/edit?usp=sharing"",""ราชบุรี!J316"")"),0.0)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IFERROR(__xludf.DUMMYFUNCTION("IMPORTRANGE(""https://docs.google.com/spreadsheets/d/1SX6NBoVAgQJ6U1MVXOaj8PK2l7WJ3RER9xtqwdhxkhw/edit?usp=sharing"",""ราชบุรี!I317"")"),75.0)</f>
        <v>75</v>
      </c>
      <c r="J422" s="426">
        <f>IFERROR(__xludf.DUMMYFUNCTION("IMPORTRANGE(""https://docs.google.com/spreadsheets/d/1SX6NBoVAgQJ6U1MVXOaj8PK2l7WJ3RER9xtqwdhxkhw/edit?usp=sharing"",""ราชบุรี!J317"")"),0.0)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IFERROR(__xludf.DUMMYFUNCTION("IMPORTRANGE(""https://docs.google.com/spreadsheets/d/1SX6NBoVAgQJ6U1MVXOaj8PK2l7WJ3RER9xtqwdhxkhw/edit?usp=sharing"",""ราชบุรี!I318"")"),25.0)</f>
        <v>25</v>
      </c>
      <c r="J423" s="427">
        <f>IFERROR(__xludf.DUMMYFUNCTION("IMPORTRANGE(""https://docs.google.com/spreadsheets/d/1SX6NBoVAgQJ6U1MVXOaj8PK2l7WJ3RER9xtqwdhxkhw/edit?usp=sharing"",""ราชบุรี!J318"")"),0.0)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IFERROR(__xludf.DUMMYFUNCTION("IMPORTRANGE(""https://docs.google.com/spreadsheets/d/1SX6NBoVAgQJ6U1MVXOaj8PK2l7WJ3RER9xtqwdhxkhw/edit?usp=sharing"",""ราชบุรี!I319"")"),25.0)</f>
        <v>25</v>
      </c>
      <c r="J424" s="427">
        <f>IFERROR(__xludf.DUMMYFUNCTION("IMPORTRANGE(""https://docs.google.com/spreadsheets/d/1SX6NBoVAgQJ6U1MVXOaj8PK2l7WJ3RER9xtqwdhxkhw/edit?usp=sharing"",""ราชบุรี!J319"")"),0.0)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IFERROR(__xludf.DUMMYFUNCTION("IMPORTRANGE(""https://docs.google.com/spreadsheets/d/1SX6NBoVAgQJ6U1MVXOaj8PK2l7WJ3RER9xtqwdhxkhw/edit?usp=sharing"",""ราชบุรี!I320"")"),25.0)</f>
        <v>25</v>
      </c>
      <c r="J425" s="427">
        <f>IFERROR(__xludf.DUMMYFUNCTION("IMPORTRANGE(""https://docs.google.com/spreadsheets/d/1SX6NBoVAgQJ6U1MVXOaj8PK2l7WJ3RER9xtqwdhxkhw/edit?usp=sharing"",""ราชบุรี!J320"")"),0.0)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IFERROR(__xludf.DUMMYFUNCTION("IMPORTRANGE(""https://docs.google.com/spreadsheets/d/1SX6NBoVAgQJ6U1MVXOaj8PK2l7WJ3RER9xtqwdhxkhw/edit?usp=sharing"",""ราชบุรี!I321"")"),10.0)</f>
        <v>10</v>
      </c>
      <c r="J426" s="425">
        <f>IFERROR(__xludf.DUMMYFUNCTION("IMPORTRANGE(""https://docs.google.com/spreadsheets/d/1SX6NBoVAgQJ6U1MVXOaj8PK2l7WJ3RER9xtqwdhxkhw/edit?usp=sharing"",""ราชบุรี!J321"")"),0.0)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IFERROR(__xludf.DUMMYFUNCTION("IMPORTRANGE(""https://docs.google.com/spreadsheets/d/1SX6NBoVAgQJ6U1MVXOaj8PK2l7WJ3RER9xtqwdhxkhw/edit?usp=sharing"",""ราชบุรี!I322"")"),30.0)</f>
        <v>30</v>
      </c>
      <c r="J427" s="426">
        <f>IFERROR(__xludf.DUMMYFUNCTION("IMPORTRANGE(""https://docs.google.com/spreadsheets/d/1SX6NBoVAgQJ6U1MVXOaj8PK2l7WJ3RER9xtqwdhxkhw/edit?usp=sharing"",""ราชบุรี!J322"")"),0.0)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IFERROR(__xludf.DUMMYFUNCTION("IMPORTRANGE(""https://docs.google.com/spreadsheets/d/1SX6NBoVAgQJ6U1MVXOaj8PK2l7WJ3RER9xtqwdhxkhw/edit?usp=sharing"",""ราชบุรี!I323"")"),10.0)</f>
        <v>10</v>
      </c>
      <c r="J428" s="427">
        <f>IFERROR(__xludf.DUMMYFUNCTION("IMPORTRANGE(""https://docs.google.com/spreadsheets/d/1SX6NBoVAgQJ6U1MVXOaj8PK2l7WJ3RER9xtqwdhxkhw/edit?usp=sharing"",""ราชบุรี!J323"")"),0.0)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IFERROR(__xludf.DUMMYFUNCTION("IMPORTRANGE(""https://docs.google.com/spreadsheets/d/1SX6NBoVAgQJ6U1MVXOaj8PK2l7WJ3RER9xtqwdhxkhw/edit?usp=sharing"",""ราชบุรี!I324"")"),10.0)</f>
        <v>10</v>
      </c>
      <c r="J429" s="427">
        <f>IFERROR(__xludf.DUMMYFUNCTION("IMPORTRANGE(""https://docs.google.com/spreadsheets/d/1SX6NBoVAgQJ6U1MVXOaj8PK2l7WJ3RER9xtqwdhxkhw/edit?usp=sharing"",""ราชบุรี!J324"")"),0.0)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IFERROR(__xludf.DUMMYFUNCTION("IMPORTRANGE(""https://docs.google.com/spreadsheets/d/1SX6NBoVAgQJ6U1MVXOaj8PK2l7WJ3RER9xtqwdhxkhw/edit?usp=sharing"",""ราชบุรี!I325"")"),55.0)</f>
        <v>55</v>
      </c>
      <c r="J430" s="425">
        <f>IFERROR(__xludf.DUMMYFUNCTION("IMPORTRANGE(""https://docs.google.com/spreadsheets/d/1SX6NBoVAgQJ6U1MVXOaj8PK2l7WJ3RER9xtqwdhxkhw/edit?usp=sharing"",""ราชบุรี!J325"")"),0.0)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IFERROR(__xludf.DUMMYFUNCTION("IMPORTRANGE(""https://docs.google.com/spreadsheets/d/1SX6NBoVAgQJ6U1MVXOaj8PK2l7WJ3RER9xtqwdhxkhw/edit?usp=sharing"",""ราชบุรี!I326"")"),30.0)</f>
        <v>30</v>
      </c>
      <c r="J431" s="427">
        <f>IFERROR(__xludf.DUMMYFUNCTION("IMPORTRANGE(""https://docs.google.com/spreadsheets/d/1SX6NBoVAgQJ6U1MVXOaj8PK2l7WJ3RER9xtqwdhxkhw/edit?usp=sharing"",""ราชบุรี!J326"")"),0.0)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IFERROR(__xludf.DUMMYFUNCTION("IMPORTRANGE(""https://docs.google.com/spreadsheets/d/1SX6NBoVAgQJ6U1MVXOaj8PK2l7WJ3RER9xtqwdhxkhw/edit?usp=sharing"",""ราชบุรี!I327"")"),25.0)</f>
        <v>25</v>
      </c>
      <c r="J432" s="427">
        <f>IFERROR(__xludf.DUMMYFUNCTION("IMPORTRANGE(""https://docs.google.com/spreadsheets/d/1SX6NBoVAgQJ6U1MVXOaj8PK2l7WJ3RER9xtqwdhxkhw/edit?usp=sharing"",""ราชบุรี!J327"")"),0.0)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IFERROR(__xludf.DUMMYFUNCTION("IMPORTRANGE(""https://docs.google.com/spreadsheets/d/1SX6NBoVAgQJ6U1MVXOaj8PK2l7WJ3RER9xtqwdhxkhw/edit?usp=sharing"",""ราชบุรี!J328"")"),0.0)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IFERROR(__xludf.DUMMYFUNCTION("IMPORTRANGE(""https://docs.google.com/spreadsheets/d/1SX6NBoVAgQJ6U1MVXOaj8PK2l7WJ3RER9xtqwdhxkhw/edit?usp=sharing"",""ราชบุรี!J329"")"),0.0)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IFERROR(__xludf.DUMMYFUNCTION("IMPORTRANGE(""https://docs.google.com/spreadsheets/d/1SX6NBoVAgQJ6U1MVXOaj8PK2l7WJ3RER9xtqwdhxkhw/edit?usp=sharing"",""ราชบุรี!I330"")"),20.0)</f>
        <v>20</v>
      </c>
      <c r="J435" s="443">
        <f>IFERROR(__xludf.DUMMYFUNCTION("IMPORTRANGE(""https://docs.google.com/spreadsheets/d/1SX6NBoVAgQJ6U1MVXOaj8PK2l7WJ3RER9xtqwdhxkhw/edit?usp=sharing"",""ราชบุรี!J330"")"),0.0)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IFERROR(__xludf.DUMMYFUNCTION("IMPORTRANGE(""https://docs.google.com/spreadsheets/d/1SX6NBoVAgQJ6U1MVXOaj8PK2l7WJ3RER9xtqwdhxkhw/edit?usp=sharing"",""ราชบุรี!L330"")"),95000.0)</f>
        <v>95000</v>
      </c>
      <c r="M435" s="445"/>
      <c r="N435" s="445">
        <f>IFERROR(__xludf.DUMMYFUNCTION("IMPORTRANGE(""https://docs.google.com/spreadsheets/d/1SX6NBoVAgQJ6U1MVXOaj8PK2l7WJ3RER9xtqwdhxkhw/edit?usp=sharing"",""ราชบุรี!M330"")"),0.0)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IFERROR(__xludf.DUMMYFUNCTION("IMPORTRANGE(""https://docs.google.com/spreadsheets/d/1SX6NBoVAgQJ6U1MVXOaj8PK2l7WJ3RER9xtqwdhxkhw/edit?usp=sharing"",""ราชบุรี!L331"")"),0.0)</f>
        <v>0</v>
      </c>
      <c r="M436" s="197"/>
      <c r="N436" s="203">
        <f>IFERROR(__xludf.DUMMYFUNCTION("IMPORTRANGE(""https://docs.google.com/spreadsheets/d/1SX6NBoVAgQJ6U1MVXOaj8PK2l7WJ3RER9xtqwdhxkhw/edit?usp=sharing"",""ราชบุรี!M331"")"),0.0)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IFERROR(__xludf.DUMMYFUNCTION("IMPORTRANGE(""https://docs.google.com/spreadsheets/d/1SX6NBoVAgQJ6U1MVXOaj8PK2l7WJ3RER9xtqwdhxkhw/edit?usp=sharing"",""ราชบุรี!L332"")"),95000.0)</f>
        <v>95000</v>
      </c>
      <c r="M437" s="198"/>
      <c r="N437" s="203">
        <f>IFERROR(__xludf.DUMMYFUNCTION("IMPORTRANGE(""https://docs.google.com/spreadsheets/d/1SX6NBoVAgQJ6U1MVXOaj8PK2l7WJ3RER9xtqwdhxkhw/edit?usp=sharing"",""ราชบุรี!M332"")"),0.0)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IFERROR(__xludf.DUMMYFUNCTION("IMPORTRANGE(""https://docs.google.com/spreadsheets/d/1SX6NBoVAgQJ6U1MVXOaj8PK2l7WJ3RER9xtqwdhxkhw/edit?usp=sharing"",""ราชบุรี!L333"")"),0.0)</f>
        <v>0</v>
      </c>
      <c r="M438" s="203"/>
      <c r="N438" s="203">
        <f>IFERROR(__xludf.DUMMYFUNCTION("IMPORTRANGE(""https://docs.google.com/spreadsheets/d/1SX6NBoVAgQJ6U1MVXOaj8PK2l7WJ3RER9xtqwdhxkhw/edit?usp=sharing"",""ราชบุรี!M333"")"),0.0)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IFERROR(__xludf.DUMMYFUNCTION("IMPORTRANGE(""https://docs.google.com/spreadsheets/d/1SX6NBoVAgQJ6U1MVXOaj8PK2l7WJ3RER9xtqwdhxkhw/edit?usp=sharing"",""ราชบุรี!L334"")"),95000.0)</f>
        <v>95000</v>
      </c>
      <c r="M439" s="203"/>
      <c r="N439" s="203">
        <f>IFERROR(__xludf.DUMMYFUNCTION("IMPORTRANGE(""https://docs.google.com/spreadsheets/d/1SX6NBoVAgQJ6U1MVXOaj8PK2l7WJ3RER9xtqwdhxkhw/edit?usp=sharing"",""ราชบุรี!M334"")"),0.0)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IFERROR(__xludf.DUMMYFUNCTION("IMPORTRANGE(""https://docs.google.com/spreadsheets/d/1SX6NBoVAgQJ6U1MVXOaj8PK2l7WJ3RER9xtqwdhxkhw/edit?usp=sharing"",""ราชบุรี!M335"")"),0.0)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IFERROR(__xludf.DUMMYFUNCTION("IMPORTRANGE(""https://docs.google.com/spreadsheets/d/1SX6NBoVAgQJ6U1MVXOaj8PK2l7WJ3RER9xtqwdhxkhw/edit?usp=sharing"",""ราชบุรี!M336"")"),0.0)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IFERROR(__xludf.DUMMYFUNCTION("IMPORTRANGE(""https://docs.google.com/spreadsheets/d/1SX6NBoVAgQJ6U1MVXOaj8PK2l7WJ3RER9xtqwdhxkhw/edit?usp=sharing"",""ราชบุรี!M337"")"),0.0)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IFERROR(__xludf.DUMMYFUNCTION("IMPORTRANGE(""https://docs.google.com/spreadsheets/d/1SX6NBoVAgQJ6U1MVXOaj8PK2l7WJ3RER9xtqwdhxkhw/edit?usp=sharing"",""ราชบุรี!M338"")"),0.0)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IFERROR(__xludf.DUMMYFUNCTION("IMPORTRANGE(""https://docs.google.com/spreadsheets/d/1SX6NBoVAgQJ6U1MVXOaj8PK2l7WJ3RER9xtqwdhxkhw/edit?usp=sharing"",""ราชบุรี!J340"")"),0.0)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IFERROR(__xludf.DUMMYFUNCTION("IMPORTRANGE(""https://docs.google.com/spreadsheets/d/1SX6NBoVAgQJ6U1MVXOaj8PK2l7WJ3RER9xtqwdhxkhw/edit?usp=sharing"",""ราชบุรี!J341"")"),1.0)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IFERROR(__xludf.DUMMYFUNCTION("IMPORTRANGE(""https://docs.google.com/spreadsheets/d/1SX6NBoVAgQJ6U1MVXOaj8PK2l7WJ3RER9xtqwdhxkhw/edit?usp=sharing"",""ราชบุรี!J342"")"),0.0)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IFERROR(__xludf.DUMMYFUNCTION("IMPORTRANGE(""https://docs.google.com/spreadsheets/d/1SX6NBoVAgQJ6U1MVXOaj8PK2l7WJ3RER9xtqwdhxkhw/edit?usp=sharing"",""ราชบุรี!J343"")"),0.0)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IFERROR(__xludf.DUMMYFUNCTION("IMPORTRANGE(""https://docs.google.com/spreadsheets/d/1SX6NBoVAgQJ6U1MVXOaj8PK2l7WJ3RER9xtqwdhxkhw/edit?usp=sharing"",""ราชบุรี!I344"")"),20.0)</f>
        <v>20</v>
      </c>
      <c r="J449" s="235">
        <f>IFERROR(__xludf.DUMMYFUNCTION("IMPORTRANGE(""https://docs.google.com/spreadsheets/d/1SX6NBoVAgQJ6U1MVXOaj8PK2l7WJ3RER9xtqwdhxkhw/edit?usp=sharing"",""ราชบุรี!J344"")"),0.0)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IFERROR(__xludf.DUMMYFUNCTION("IMPORTRANGE(""https://docs.google.com/spreadsheets/d/1SX6NBoVAgQJ6U1MVXOaj8PK2l7WJ3RER9xtqwdhxkhw/edit?usp=sharing"",""ราชบุรี!I345"")"),20.0)</f>
        <v>20</v>
      </c>
      <c r="J450" s="223">
        <f>IFERROR(__xludf.DUMMYFUNCTION("IMPORTRANGE(""https://docs.google.com/spreadsheets/d/1SX6NBoVAgQJ6U1MVXOaj8PK2l7WJ3RER9xtqwdhxkhw/edit?usp=sharing"",""ราชบุรี!J345"")"),0.0)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IFERROR(__xludf.DUMMYFUNCTION("IMPORTRANGE(""https://docs.google.com/spreadsheets/d/1SX6NBoVAgQJ6U1MVXOaj8PK2l7WJ3RER9xtqwdhxkhw/edit?usp=sharing"",""ราชบุรี!I346"")"),0.0)</f>
        <v>0</v>
      </c>
      <c r="J451" s="222">
        <f>IFERROR(__xludf.DUMMYFUNCTION("IMPORTRANGE(""https://docs.google.com/spreadsheets/d/1SX6NBoVAgQJ6U1MVXOaj8PK2l7WJ3RER9xtqwdhxkhw/edit?usp=sharing"",""ราชบุรี!J346"")"),0.0)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IFERROR(__xludf.DUMMYFUNCTION("IMPORTRANGE(""https://docs.google.com/spreadsheets/d/1SX6NBoVAgQJ6U1MVXOaj8PK2l7WJ3RER9xtqwdhxkhw/edit?usp=sharing"",""ราชบุรี!I347"")"),0.0)</f>
        <v>0</v>
      </c>
      <c r="J452" s="222">
        <f>IFERROR(__xludf.DUMMYFUNCTION("IMPORTRANGE(""https://docs.google.com/spreadsheets/d/1SX6NBoVAgQJ6U1MVXOaj8PK2l7WJ3RER9xtqwdhxkhw/edit?usp=sharing"",""ราชบุรี!J347"")"),0.0)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IFERROR(__xludf.DUMMYFUNCTION("IMPORTRANGE(""https://docs.google.com/spreadsheets/d/1SX6NBoVAgQJ6U1MVXOaj8PK2l7WJ3RER9xtqwdhxkhw/edit?usp=sharing"",""ราชบุรี!J348"")"),0.0)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IFERROR(__xludf.DUMMYFUNCTION("IMPORTRANGE(""https://docs.google.com/spreadsheets/d/1SX6NBoVAgQJ6U1MVXOaj8PK2l7WJ3RER9xtqwdhxkhw/edit?usp=sharing"",""ราชบุรี!J349"")"),0.0)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IFERROR(__xludf.DUMMYFUNCTION("IMPORTRANGE(""https://docs.google.com/spreadsheets/d/1SX6NBoVAgQJ6U1MVXOaj8PK2l7WJ3RER9xtqwdhxkhw/edit?usp=sharing"",""ราชบุรี!I350"")"),0.0)</f>
        <v>0</v>
      </c>
      <c r="J455" s="404">
        <f>IFERROR(__xludf.DUMMYFUNCTION("IMPORTRANGE(""https://docs.google.com/spreadsheets/d/1SX6NBoVAgQJ6U1MVXOaj8PK2l7WJ3RER9xtqwdhxkhw/edit?usp=sharing"",""ราชบุรี!J350"")"),0.0)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IFERROR(__xludf.DUMMYFUNCTION("IMPORTRANGE(""https://docs.google.com/spreadsheets/d/1SX6NBoVAgQJ6U1MVXOaj8PK2l7WJ3RER9xtqwdhxkhw/edit?usp=sharing"",""ราชบุรี!L350"")"),79312.0)</f>
        <v>79312</v>
      </c>
      <c r="M455" s="406"/>
      <c r="N455" s="406">
        <f>IFERROR(__xludf.DUMMYFUNCTION("IMPORTRANGE(""https://docs.google.com/spreadsheets/d/1SX6NBoVAgQJ6U1MVXOaj8PK2l7WJ3RER9xtqwdhxkhw/edit?usp=sharing"",""ราชบุรี!M350"")"),5400.0)</f>
        <v>5400</v>
      </c>
      <c r="O455" s="406">
        <f t="shared" ref="O455:O459" si="117">+IF(L455&gt;0,N455*100/L455,0)</f>
        <v>6.808553561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IFERROR(__xludf.DUMMYFUNCTION("IMPORTRANGE(""https://docs.google.com/spreadsheets/d/1SX6NBoVAgQJ6U1MVXOaj8PK2l7WJ3RER9xtqwdhxkhw/edit?usp=sharing"",""ราชบุรี!L351"")"),0.0)</f>
        <v>0</v>
      </c>
      <c r="M456" s="197"/>
      <c r="N456" s="203">
        <f>IFERROR(__xludf.DUMMYFUNCTION("IMPORTRANGE(""https://docs.google.com/spreadsheets/d/1SX6NBoVAgQJ6U1MVXOaj8PK2l7WJ3RER9xtqwdhxkhw/edit?usp=sharing"",""ราชบุรี!M351"")"),0.0)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IFERROR(__xludf.DUMMYFUNCTION("IMPORTRANGE(""https://docs.google.com/spreadsheets/d/1SX6NBoVAgQJ6U1MVXOaj8PK2l7WJ3RER9xtqwdhxkhw/edit?usp=sharing"",""ราชบุรี!L352"")"),79312.0)</f>
        <v>79312</v>
      </c>
      <c r="M457" s="198"/>
      <c r="N457" s="203">
        <f>IFERROR(__xludf.DUMMYFUNCTION("IMPORTRANGE(""https://docs.google.com/spreadsheets/d/1SX6NBoVAgQJ6U1MVXOaj8PK2l7WJ3RER9xtqwdhxkhw/edit?usp=sharing"",""ราชบุรี!M352"")"),5400.0)</f>
        <v>5400</v>
      </c>
      <c r="O457" s="203">
        <f t="shared" si="117"/>
        <v>6.808553561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IFERROR(__xludf.DUMMYFUNCTION("IMPORTRANGE(""https://docs.google.com/spreadsheets/d/1SX6NBoVAgQJ6U1MVXOaj8PK2l7WJ3RER9xtqwdhxkhw/edit?usp=sharing"",""ราชบุรี!L353"")"),0.0)</f>
        <v>0</v>
      </c>
      <c r="M458" s="203"/>
      <c r="N458" s="203">
        <f>IFERROR(__xludf.DUMMYFUNCTION("IMPORTRANGE(""https://docs.google.com/spreadsheets/d/1SX6NBoVAgQJ6U1MVXOaj8PK2l7WJ3RER9xtqwdhxkhw/edit?usp=sharing"",""ราชบุรี!M353"")"),0.0)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IFERROR(__xludf.DUMMYFUNCTION("IMPORTRANGE(""https://docs.google.com/spreadsheets/d/1SX6NBoVAgQJ6U1MVXOaj8PK2l7WJ3RER9xtqwdhxkhw/edit?usp=sharing"",""ราชบุรี!L354"")"),79312.0)</f>
        <v>79312</v>
      </c>
      <c r="M459" s="203"/>
      <c r="N459" s="203">
        <f>IFERROR(__xludf.DUMMYFUNCTION("IMPORTRANGE(""https://docs.google.com/spreadsheets/d/1SX6NBoVAgQJ6U1MVXOaj8PK2l7WJ3RER9xtqwdhxkhw/edit?usp=sharing"",""ราชบุรี!M354"")"),5400.0)</f>
        <v>5400</v>
      </c>
      <c r="O459" s="203">
        <f t="shared" si="117"/>
        <v>6.808553561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IFERROR(__xludf.DUMMYFUNCTION("IMPORTRANGE(""https://docs.google.com/spreadsheets/d/1SX6NBoVAgQJ6U1MVXOaj8PK2l7WJ3RER9xtqwdhxkhw/edit?usp=sharing"",""ราชบุรี!M355"")"),0.0)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IFERROR(__xludf.DUMMYFUNCTION("IMPORTRANGE(""https://docs.google.com/spreadsheets/d/1SX6NBoVAgQJ6U1MVXOaj8PK2l7WJ3RER9xtqwdhxkhw/edit?usp=sharing"",""ราชบุรี!M356"")"),0.0)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IFERROR(__xludf.DUMMYFUNCTION("IMPORTRANGE(""https://docs.google.com/spreadsheets/d/1SX6NBoVAgQJ6U1MVXOaj8PK2l7WJ3RER9xtqwdhxkhw/edit?usp=sharing"",""ราชบุรี!M357"")"),0.0)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IFERROR(__xludf.DUMMYFUNCTION("IMPORTRANGE(""https://docs.google.com/spreadsheets/d/1SX6NBoVAgQJ6U1MVXOaj8PK2l7WJ3RER9xtqwdhxkhw/edit?usp=sharing"",""ราชบุรี!M358"")"),5400.0)</f>
        <v>5400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IFERROR(__xludf.DUMMYFUNCTION("IMPORTRANGE(""https://docs.google.com/spreadsheets/d/1SX6NBoVAgQJ6U1MVXOaj8PK2l7WJ3RER9xtqwdhxkhw/edit?usp=sharing"",""ราชบุรี!I359"")"),0.0)</f>
        <v>0</v>
      </c>
      <c r="J464" s="301">
        <f>IFERROR(__xludf.DUMMYFUNCTION("IMPORTRANGE(""https://docs.google.com/spreadsheets/d/1SX6NBoVAgQJ6U1MVXOaj8PK2l7WJ3RER9xtqwdhxkhw/edit?usp=sharing"",""ราชบุรี!J359"")"),0.0)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IFERROR(__xludf.DUMMYFUNCTION("IMPORTRANGE(""https://docs.google.com/spreadsheets/d/1SX6NBoVAgQJ6U1MVXOaj8PK2l7WJ3RER9xtqwdhxkhw/edit?usp=sharing"",""ราชบุรี!I360"")"),0.0)</f>
        <v>0</v>
      </c>
      <c r="J465" s="453">
        <f>IFERROR(__xludf.DUMMYFUNCTION("IMPORTRANGE(""https://docs.google.com/spreadsheets/d/1SX6NBoVAgQJ6U1MVXOaj8PK2l7WJ3RER9xtqwdhxkhw/edit?usp=sharing"",""ราชบุรี!J360"")"),0.0)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IFERROR(__xludf.DUMMYFUNCTION("IMPORTRANGE(""https://docs.google.com/spreadsheets/d/1SX6NBoVAgQJ6U1MVXOaj8PK2l7WJ3RER9xtqwdhxkhw/edit?usp=sharing"",""ราชบุรี!I361"")"),0.0)</f>
        <v>0</v>
      </c>
      <c r="J466" s="453">
        <f>IFERROR(__xludf.DUMMYFUNCTION("IMPORTRANGE(""https://docs.google.com/spreadsheets/d/1SX6NBoVAgQJ6U1MVXOaj8PK2l7WJ3RER9xtqwdhxkhw/edit?usp=sharing"",""ราชบุรี!J361"")"),0.0)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IFERROR(__xludf.DUMMYFUNCTION("IMPORTRANGE(""https://docs.google.com/spreadsheets/d/1SX6NBoVAgQJ6U1MVXOaj8PK2l7WJ3RER9xtqwdhxkhw/edit?usp=sharing"",""ราชบุรี!I362"")"),0.0)</f>
        <v>0</v>
      </c>
      <c r="J467" s="223">
        <f>IFERROR(__xludf.DUMMYFUNCTION("IMPORTRANGE(""https://docs.google.com/spreadsheets/d/1SX6NBoVAgQJ6U1MVXOaj8PK2l7WJ3RER9xtqwdhxkhw/edit?usp=sharing"",""ราชบุรี!J362"")"),0.0)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IFERROR(__xludf.DUMMYFUNCTION("IMPORTRANGE(""https://docs.google.com/spreadsheets/d/1SX6NBoVAgQJ6U1MVXOaj8PK2l7WJ3RER9xtqwdhxkhw/edit?usp=sharing"",""ราชบุรี!I363"")"),0.0)</f>
        <v>0</v>
      </c>
      <c r="J468" s="223">
        <f>IFERROR(__xludf.DUMMYFUNCTION("IMPORTRANGE(""https://docs.google.com/spreadsheets/d/1SX6NBoVAgQJ6U1MVXOaj8PK2l7WJ3RER9xtqwdhxkhw/edit?usp=sharing"",""ราชบุรี!J363"")"),0.0)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IFERROR(__xludf.DUMMYFUNCTION("IMPORTRANGE(""https://docs.google.com/spreadsheets/d/1SX6NBoVAgQJ6U1MVXOaj8PK2l7WJ3RER9xtqwdhxkhw/edit?usp=sharing"",""ราชบุรี!I364"")"),0.0)</f>
        <v>0</v>
      </c>
      <c r="J469" s="223">
        <f>IFERROR(__xludf.DUMMYFUNCTION("IMPORTRANGE(""https://docs.google.com/spreadsheets/d/1SX6NBoVAgQJ6U1MVXOaj8PK2l7WJ3RER9xtqwdhxkhw/edit?usp=sharing"",""ราชบุรี!J364"")"),0.0)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IFERROR(__xludf.DUMMYFUNCTION("IMPORTRANGE(""https://docs.google.com/spreadsheets/d/1SX6NBoVAgQJ6U1MVXOaj8PK2l7WJ3RER9xtqwdhxkhw/edit?usp=sharing"",""ราชบุรี!I365"")"),0.0)</f>
        <v>0</v>
      </c>
      <c r="J470" s="223">
        <f>IFERROR(__xludf.DUMMYFUNCTION("IMPORTRANGE(""https://docs.google.com/spreadsheets/d/1SX6NBoVAgQJ6U1MVXOaj8PK2l7WJ3RER9xtqwdhxkhw/edit?usp=sharing"",""ราชบุรี!J365"")"),0.0)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IFERROR(__xludf.DUMMYFUNCTION("IMPORTRANGE(""https://docs.google.com/spreadsheets/d/1SX6NBoVAgQJ6U1MVXOaj8PK2l7WJ3RER9xtqwdhxkhw/edit?usp=sharing"",""ราชบุรี!I366"")"),0.0)</f>
        <v>0</v>
      </c>
      <c r="J471" s="223">
        <f>IFERROR(__xludf.DUMMYFUNCTION("IMPORTRANGE(""https://docs.google.com/spreadsheets/d/1SX6NBoVAgQJ6U1MVXOaj8PK2l7WJ3RER9xtqwdhxkhw/edit?usp=sharing"",""ราชบุรี!J366"")"),0.0)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IFERROR(__xludf.DUMMYFUNCTION("IMPORTRANGE(""https://docs.google.com/spreadsheets/d/1SX6NBoVAgQJ6U1MVXOaj8PK2l7WJ3RER9xtqwdhxkhw/edit?usp=sharing"",""ราชบุรี!I367"")"),0.0)</f>
        <v>0</v>
      </c>
      <c r="J472" s="223">
        <f>IFERROR(__xludf.DUMMYFUNCTION("IMPORTRANGE(""https://docs.google.com/spreadsheets/d/1SX6NBoVAgQJ6U1MVXOaj8PK2l7WJ3RER9xtqwdhxkhw/edit?usp=sharing"",""ราชบุรี!J367"")"),0.0)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IFERROR(__xludf.DUMMYFUNCTION("IMPORTRANGE(""https://docs.google.com/spreadsheets/d/1SX6NBoVAgQJ6U1MVXOaj8PK2l7WJ3RER9xtqwdhxkhw/edit?usp=sharing"",""ราชบุรี!I368"")"),0.0)</f>
        <v>0</v>
      </c>
      <c r="J473" s="453">
        <f>IFERROR(__xludf.DUMMYFUNCTION("IMPORTRANGE(""https://docs.google.com/spreadsheets/d/1SX6NBoVAgQJ6U1MVXOaj8PK2l7WJ3RER9xtqwdhxkhw/edit?usp=sharing"",""ราชบุรี!J368"")"),0.0)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IFERROR(__xludf.DUMMYFUNCTION("IMPORTRANGE(""https://docs.google.com/spreadsheets/d/1SX6NBoVAgQJ6U1MVXOaj8PK2l7WJ3RER9xtqwdhxkhw/edit?usp=sharing"",""ราชบุรี!I369"")"),0.0)</f>
        <v>0</v>
      </c>
      <c r="J474" s="453">
        <f>IFERROR(__xludf.DUMMYFUNCTION("IMPORTRANGE(""https://docs.google.com/spreadsheets/d/1SX6NBoVAgQJ6U1MVXOaj8PK2l7WJ3RER9xtqwdhxkhw/edit?usp=sharing"",""ราชบุรี!J369"")"),0.0)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IFERROR(__xludf.DUMMYFUNCTION("IMPORTRANGE(""https://docs.google.com/spreadsheets/d/1SX6NBoVAgQJ6U1MVXOaj8PK2l7WJ3RER9xtqwdhxkhw/edit?usp=sharing"",""ราชบุรี!I370"")"),0.0)</f>
        <v>0</v>
      </c>
      <c r="J475" s="223">
        <f>IFERROR(__xludf.DUMMYFUNCTION("IMPORTRANGE(""https://docs.google.com/spreadsheets/d/1SX6NBoVAgQJ6U1MVXOaj8PK2l7WJ3RER9xtqwdhxkhw/edit?usp=sharing"",""ราชบุรี!J370"")"),0.0)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IFERROR(__xludf.DUMMYFUNCTION("IMPORTRANGE(""https://docs.google.com/spreadsheets/d/1SX6NBoVAgQJ6U1MVXOaj8PK2l7WJ3RER9xtqwdhxkhw/edit?usp=sharing"",""ราชบุรี!I371"")"),0.0)</f>
        <v>0</v>
      </c>
      <c r="J476" s="223">
        <f>IFERROR(__xludf.DUMMYFUNCTION("IMPORTRANGE(""https://docs.google.com/spreadsheets/d/1SX6NBoVAgQJ6U1MVXOaj8PK2l7WJ3RER9xtqwdhxkhw/edit?usp=sharing"",""ราชบุรี!J371"")"),0.0)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IFERROR(__xludf.DUMMYFUNCTION("IMPORTRANGE(""https://docs.google.com/spreadsheets/d/1SX6NBoVAgQJ6U1MVXOaj8PK2l7WJ3RER9xtqwdhxkhw/edit?usp=sharing"",""ราชบุรี!I372"")"),0.0)</f>
        <v>0</v>
      </c>
      <c r="J477" s="223">
        <f>IFERROR(__xludf.DUMMYFUNCTION("IMPORTRANGE(""https://docs.google.com/spreadsheets/d/1SX6NBoVAgQJ6U1MVXOaj8PK2l7WJ3RER9xtqwdhxkhw/edit?usp=sharing"",""ราชบุรี!J372"")"),0.0)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IFERROR(__xludf.DUMMYFUNCTION("IMPORTRANGE(""https://docs.google.com/spreadsheets/d/1SX6NBoVAgQJ6U1MVXOaj8PK2l7WJ3RER9xtqwdhxkhw/edit?usp=sharing"",""ราชบุรี!I373"")"),0.0)</f>
        <v>0</v>
      </c>
      <c r="J478" s="223">
        <f>IFERROR(__xludf.DUMMYFUNCTION("IMPORTRANGE(""https://docs.google.com/spreadsheets/d/1SX6NBoVAgQJ6U1MVXOaj8PK2l7WJ3RER9xtqwdhxkhw/edit?usp=sharing"",""ราชบุรี!J373"")"),0.0)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IFERROR(__xludf.DUMMYFUNCTION("IMPORTRANGE(""https://docs.google.com/spreadsheets/d/1SX6NBoVAgQJ6U1MVXOaj8PK2l7WJ3RER9xtqwdhxkhw/edit?usp=sharing"",""ราชบุรี!I374"")"),0.0)</f>
        <v>0</v>
      </c>
      <c r="J479" s="223">
        <f>IFERROR(__xludf.DUMMYFUNCTION("IMPORTRANGE(""https://docs.google.com/spreadsheets/d/1SX6NBoVAgQJ6U1MVXOaj8PK2l7WJ3RER9xtqwdhxkhw/edit?usp=sharing"",""ราชบุรี!J374"")"),0.0)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IFERROR(__xludf.DUMMYFUNCTION("IMPORTRANGE(""https://docs.google.com/spreadsheets/d/1SX6NBoVAgQJ6U1MVXOaj8PK2l7WJ3RER9xtqwdhxkhw/edit?usp=sharing"",""ราชบุรี!I375"")"),0.0)</f>
        <v>0</v>
      </c>
      <c r="J480" s="223">
        <f>IFERROR(__xludf.DUMMYFUNCTION("IMPORTRANGE(""https://docs.google.com/spreadsheets/d/1SX6NBoVAgQJ6U1MVXOaj8PK2l7WJ3RER9xtqwdhxkhw/edit?usp=sharing"",""ราชบุรี!J375"")"),0.0)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IFERROR(__xludf.DUMMYFUNCTION("IMPORTRANGE(""https://docs.google.com/spreadsheets/d/1SX6NBoVAgQJ6U1MVXOaj8PK2l7WJ3RER9xtqwdhxkhw/edit?usp=sharing"",""ราชบุรี!I376"")"),0.0)</f>
        <v>0</v>
      </c>
      <c r="J481" s="453">
        <f>IFERROR(__xludf.DUMMYFUNCTION("IMPORTRANGE(""https://docs.google.com/spreadsheets/d/1SX6NBoVAgQJ6U1MVXOaj8PK2l7WJ3RER9xtqwdhxkhw/edit?usp=sharing"",""ราชบุรี!J376"")"),0.0)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IFERROR(__xludf.DUMMYFUNCTION("IMPORTRANGE(""https://docs.google.com/spreadsheets/d/1SX6NBoVAgQJ6U1MVXOaj8PK2l7WJ3RER9xtqwdhxkhw/edit?usp=sharing"",""ราชบุรี!I377"")"),0.0)</f>
        <v>0</v>
      </c>
      <c r="J482" s="453">
        <f>IFERROR(__xludf.DUMMYFUNCTION("IMPORTRANGE(""https://docs.google.com/spreadsheets/d/1SX6NBoVAgQJ6U1MVXOaj8PK2l7WJ3RER9xtqwdhxkhw/edit?usp=sharing"",""ราชบุรี!J377"")"),0.0)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IFERROR(__xludf.DUMMYFUNCTION("IMPORTRANGE(""https://docs.google.com/spreadsheets/d/1SX6NBoVAgQJ6U1MVXOaj8PK2l7WJ3RER9xtqwdhxkhw/edit?usp=sharing"",""ราชบุรี!I378"")"),0.0)</f>
        <v>0</v>
      </c>
      <c r="J483" s="223">
        <f>IFERROR(__xludf.DUMMYFUNCTION("IMPORTRANGE(""https://docs.google.com/spreadsheets/d/1SX6NBoVAgQJ6U1MVXOaj8PK2l7WJ3RER9xtqwdhxkhw/edit?usp=sharing"",""ราชบุรี!J378"")"),0.0)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IFERROR(__xludf.DUMMYFUNCTION("IMPORTRANGE(""https://docs.google.com/spreadsheets/d/1SX6NBoVAgQJ6U1MVXOaj8PK2l7WJ3RER9xtqwdhxkhw/edit?usp=sharing"",""ราชบุรี!I379"")"),0.0)</f>
        <v>0</v>
      </c>
      <c r="J484" s="223">
        <f>IFERROR(__xludf.DUMMYFUNCTION("IMPORTRANGE(""https://docs.google.com/spreadsheets/d/1SX6NBoVAgQJ6U1MVXOaj8PK2l7WJ3RER9xtqwdhxkhw/edit?usp=sharing"",""ราชบุรี!J379"")"),0.0)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IFERROR(__xludf.DUMMYFUNCTION("IMPORTRANGE(""https://docs.google.com/spreadsheets/d/1SX6NBoVAgQJ6U1MVXOaj8PK2l7WJ3RER9xtqwdhxkhw/edit?usp=sharing"",""ราชบุรี!I380"")"),0.0)</f>
        <v>0</v>
      </c>
      <c r="J485" s="223">
        <f>IFERROR(__xludf.DUMMYFUNCTION("IMPORTRANGE(""https://docs.google.com/spreadsheets/d/1SX6NBoVAgQJ6U1MVXOaj8PK2l7WJ3RER9xtqwdhxkhw/edit?usp=sharing"",""ราชบุรี!J380"")"),0.0)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IFERROR(__xludf.DUMMYFUNCTION("IMPORTRANGE(""https://docs.google.com/spreadsheets/d/1SX6NBoVAgQJ6U1MVXOaj8PK2l7WJ3RER9xtqwdhxkhw/edit?usp=sharing"",""ราชบุรี!I381"")"),0.0)</f>
        <v>0</v>
      </c>
      <c r="J486" s="223">
        <f>IFERROR(__xludf.DUMMYFUNCTION("IMPORTRANGE(""https://docs.google.com/spreadsheets/d/1SX6NBoVAgQJ6U1MVXOaj8PK2l7WJ3RER9xtqwdhxkhw/edit?usp=sharing"",""ราชบุรี!J381"")"),0.0)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IFERROR(__xludf.DUMMYFUNCTION("IMPORTRANGE(""https://docs.google.com/spreadsheets/d/1SX6NBoVAgQJ6U1MVXOaj8PK2l7WJ3RER9xtqwdhxkhw/edit?usp=sharing"",""ราชบุรี!I382"")"),0.0)</f>
        <v>0</v>
      </c>
      <c r="J487" s="453">
        <f>IFERROR(__xludf.DUMMYFUNCTION("IMPORTRANGE(""https://docs.google.com/spreadsheets/d/1SX6NBoVAgQJ6U1MVXOaj8PK2l7WJ3RER9xtqwdhxkhw/edit?usp=sharing"",""ราชบุรี!J382"")"),0.0)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IFERROR(__xludf.DUMMYFUNCTION("IMPORTRANGE(""https://docs.google.com/spreadsheets/d/1SX6NBoVAgQJ6U1MVXOaj8PK2l7WJ3RER9xtqwdhxkhw/edit?usp=sharing"",""ราชบุรี!I383"")"),0.0)</f>
        <v>0</v>
      </c>
      <c r="J488" s="453">
        <f>IFERROR(__xludf.DUMMYFUNCTION("IMPORTRANGE(""https://docs.google.com/spreadsheets/d/1SX6NBoVAgQJ6U1MVXOaj8PK2l7WJ3RER9xtqwdhxkhw/edit?usp=sharing"",""ราชบุรี!J383"")"),0.0)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IFERROR(__xludf.DUMMYFUNCTION("IMPORTRANGE(""https://docs.google.com/spreadsheets/d/1SX6NBoVAgQJ6U1MVXOaj8PK2l7WJ3RER9xtqwdhxkhw/edit?usp=sharing"",""ราชบุรี!I384"")"),0.0)</f>
        <v>0</v>
      </c>
      <c r="J489" s="223">
        <f>IFERROR(__xludf.DUMMYFUNCTION("IMPORTRANGE(""https://docs.google.com/spreadsheets/d/1SX6NBoVAgQJ6U1MVXOaj8PK2l7WJ3RER9xtqwdhxkhw/edit?usp=sharing"",""ราชบุรี!J384"")"),0.0)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IFERROR(__xludf.DUMMYFUNCTION("IMPORTRANGE(""https://docs.google.com/spreadsheets/d/1SX6NBoVAgQJ6U1MVXOaj8PK2l7WJ3RER9xtqwdhxkhw/edit?usp=sharing"",""ราชบุรี!I385"")"),0.0)</f>
        <v>0</v>
      </c>
      <c r="J490" s="223">
        <f>IFERROR(__xludf.DUMMYFUNCTION("IMPORTRANGE(""https://docs.google.com/spreadsheets/d/1SX6NBoVAgQJ6U1MVXOaj8PK2l7WJ3RER9xtqwdhxkhw/edit?usp=sharing"",""ราชบุรี!J385"")"),0.0)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IFERROR(__xludf.DUMMYFUNCTION("IMPORTRANGE(""https://docs.google.com/spreadsheets/d/1SX6NBoVAgQJ6U1MVXOaj8PK2l7WJ3RER9xtqwdhxkhw/edit?usp=sharing"",""ราชบุรี!I386"")"),0.0)</f>
        <v>0</v>
      </c>
      <c r="J491" s="223">
        <f>IFERROR(__xludf.DUMMYFUNCTION("IMPORTRANGE(""https://docs.google.com/spreadsheets/d/1SX6NBoVAgQJ6U1MVXOaj8PK2l7WJ3RER9xtqwdhxkhw/edit?usp=sharing"",""ราชบุรี!J386"")"),0.0)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IFERROR(__xludf.DUMMYFUNCTION("IMPORTRANGE(""https://docs.google.com/spreadsheets/d/1SX6NBoVAgQJ6U1MVXOaj8PK2l7WJ3RER9xtqwdhxkhw/edit?usp=sharing"",""ราชบุรี!I387"")"),0.0)</f>
        <v>0</v>
      </c>
      <c r="J492" s="223">
        <f>IFERROR(__xludf.DUMMYFUNCTION("IMPORTRANGE(""https://docs.google.com/spreadsheets/d/1SX6NBoVAgQJ6U1MVXOaj8PK2l7WJ3RER9xtqwdhxkhw/edit?usp=sharing"",""ราชบุรี!J387"")"),0.0)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IFERROR(__xludf.DUMMYFUNCTION("IMPORTRANGE(""https://docs.google.com/spreadsheets/d/1SX6NBoVAgQJ6U1MVXOaj8PK2l7WJ3RER9xtqwdhxkhw/edit?usp=sharing"",""ราชบุรี!I388"")"),0.0)</f>
        <v>0</v>
      </c>
      <c r="J493" s="223">
        <f>IFERROR(__xludf.DUMMYFUNCTION("IMPORTRANGE(""https://docs.google.com/spreadsheets/d/1SX6NBoVAgQJ6U1MVXOaj8PK2l7WJ3RER9xtqwdhxkhw/edit?usp=sharing"",""ราชบุรี!J388"")"),0.0)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IFERROR(__xludf.DUMMYFUNCTION("IMPORTRANGE(""https://docs.google.com/spreadsheets/d/1SX6NBoVAgQJ6U1MVXOaj8PK2l7WJ3RER9xtqwdhxkhw/edit?usp=sharing"",""ราชบุรี!I389"")"),0.0)</f>
        <v>0</v>
      </c>
      <c r="J494" s="469">
        <f>IFERROR(__xludf.DUMMYFUNCTION("IMPORTRANGE(""https://docs.google.com/spreadsheets/d/1SX6NBoVAgQJ6U1MVXOaj8PK2l7WJ3RER9xtqwdhxkhw/edit?usp=sharing"",""ราชบุรี!J389"")"),0.0)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IFERROR(__xludf.DUMMYFUNCTION("IMPORTRANGE(""https://docs.google.com/spreadsheets/d/1SX6NBoVAgQJ6U1MVXOaj8PK2l7WJ3RER9xtqwdhxkhw/edit?usp=sharing"",""ราชบุรี!I390"")"),0.0)</f>
        <v>0</v>
      </c>
      <c r="J495" s="469">
        <f>IFERROR(__xludf.DUMMYFUNCTION("IMPORTRANGE(""https://docs.google.com/spreadsheets/d/1SX6NBoVAgQJ6U1MVXOaj8PK2l7WJ3RER9xtqwdhxkhw/edit?usp=sharing"",""ราชบุรี!J390"")"),0.0)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IFERROR(__xludf.DUMMYFUNCTION("IMPORTRANGE(""https://docs.google.com/spreadsheets/d/1SX6NBoVAgQJ6U1MVXOaj8PK2l7WJ3RER9xtqwdhxkhw/edit?usp=sharing"",""ราชบุรี!I391"")"),0.0)</f>
        <v>0</v>
      </c>
      <c r="J496" s="469">
        <f>IFERROR(__xludf.DUMMYFUNCTION("IMPORTRANGE(""https://docs.google.com/spreadsheets/d/1SX6NBoVAgQJ6U1MVXOaj8PK2l7WJ3RER9xtqwdhxkhw/edit?usp=sharing"",""ราชบุรี!J391"")"),0.0)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IFERROR(__xludf.DUMMYFUNCTION("IMPORTRANGE(""https://docs.google.com/spreadsheets/d/1SX6NBoVAgQJ6U1MVXOaj8PK2l7WJ3RER9xtqwdhxkhw/edit?usp=sharing"",""ราชบุรี!I392"")"),1935.0)</f>
        <v>1935</v>
      </c>
      <c r="J497" s="476">
        <f>IFERROR(__xludf.DUMMYFUNCTION("IMPORTRANGE(""https://docs.google.com/spreadsheets/d/1SX6NBoVAgQJ6U1MVXOaj8PK2l7WJ3RER9xtqwdhxkhw/edit?usp=sharing"",""ราชบุรี!J392"")"),201.0)</f>
        <v>201</v>
      </c>
      <c r="K497" s="477">
        <f t="shared" si="118"/>
        <v>10.3875969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IFERROR(__xludf.DUMMYFUNCTION("IMPORTRANGE(""https://docs.google.com/spreadsheets/d/1SX6NBoVAgQJ6U1MVXOaj8PK2l7WJ3RER9xtqwdhxkhw/edit?usp=sharing"",""ราชบุรี!I393"")"),1935.0)</f>
        <v>1935</v>
      </c>
      <c r="J498" s="453">
        <f>IFERROR(__xludf.DUMMYFUNCTION("IMPORTRANGE(""https://docs.google.com/spreadsheets/d/1SX6NBoVAgQJ6U1MVXOaj8PK2l7WJ3RER9xtqwdhxkhw/edit?usp=sharing"",""ราชบุรี!J393"")"),201.0)</f>
        <v>201</v>
      </c>
      <c r="K498" s="196">
        <f t="shared" si="118"/>
        <v>10.3875969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IFERROR(__xludf.DUMMYFUNCTION("IMPORTRANGE(""https://docs.google.com/spreadsheets/d/1SX6NBoVAgQJ6U1MVXOaj8PK2l7WJ3RER9xtqwdhxkhw/edit?usp=sharing"",""ราชบุรี!I394"")"),129.0)</f>
        <v>129</v>
      </c>
      <c r="J499" s="453">
        <f>IFERROR(__xludf.DUMMYFUNCTION("IMPORTRANGE(""https://docs.google.com/spreadsheets/d/1SX6NBoVAgQJ6U1MVXOaj8PK2l7WJ3RER9xtqwdhxkhw/edit?usp=sharing"",""ราชบุรี!J394"")"),12.0)</f>
        <v>12</v>
      </c>
      <c r="K499" s="236">
        <f t="shared" si="118"/>
        <v>9.302325581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IFERROR(__xludf.DUMMYFUNCTION("IMPORTRANGE(""https://docs.google.com/spreadsheets/d/1SX6NBoVAgQJ6U1MVXOaj8PK2l7WJ3RER9xtqwdhxkhw/edit?usp=sharing"",""ราชบุรี!I395"")"),0.0)</f>
        <v>0</v>
      </c>
      <c r="J500" s="195">
        <f>IFERROR(__xludf.DUMMYFUNCTION("IMPORTRANGE(""https://docs.google.com/spreadsheets/d/1SX6NBoVAgQJ6U1MVXOaj8PK2l7WJ3RER9xtqwdhxkhw/edit?usp=sharing"",""ราชบุรี!J395"")"),201.0)</f>
        <v>201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IFERROR(__xludf.DUMMYFUNCTION("IMPORTRANGE(""https://docs.google.com/spreadsheets/d/1SX6NBoVAgQJ6U1MVXOaj8PK2l7WJ3RER9xtqwdhxkhw/edit?usp=sharing"",""ราชบุรี!I396"")"),0.0)</f>
        <v>0</v>
      </c>
      <c r="J501" s="195">
        <f>IFERROR(__xludf.DUMMYFUNCTION("IMPORTRANGE(""https://docs.google.com/spreadsheets/d/1SX6NBoVAgQJ6U1MVXOaj8PK2l7WJ3RER9xtqwdhxkhw/edit?usp=sharing"",""ราชบุรี!J396"")"),12.0)</f>
        <v>12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IFERROR(__xludf.DUMMYFUNCTION("IMPORTRANGE(""https://docs.google.com/spreadsheets/d/1SX6NBoVAgQJ6U1MVXOaj8PK2l7WJ3RER9xtqwdhxkhw/edit?usp=sharing"",""ราชบุรี!I397"")"),0.0)</f>
        <v>0</v>
      </c>
      <c r="J502" s="223">
        <f>IFERROR(__xludf.DUMMYFUNCTION("IMPORTRANGE(""https://docs.google.com/spreadsheets/d/1SX6NBoVAgQJ6U1MVXOaj8PK2l7WJ3RER9xtqwdhxkhw/edit?usp=sharing"",""ราชบุรี!J397"")"),201.0)</f>
        <v>201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IFERROR(__xludf.DUMMYFUNCTION("IMPORTRANGE(""https://docs.google.com/spreadsheets/d/1SX6NBoVAgQJ6U1MVXOaj8PK2l7WJ3RER9xtqwdhxkhw/edit?usp=sharing"",""ราชบุรี!I398"")"),0.0)</f>
        <v>0</v>
      </c>
      <c r="J503" s="232">
        <f>IFERROR(__xludf.DUMMYFUNCTION("IMPORTRANGE(""https://docs.google.com/spreadsheets/d/1SX6NBoVAgQJ6U1MVXOaj8PK2l7WJ3RER9xtqwdhxkhw/edit?usp=sharing"",""ราชบุรี!J398"")"),12.0)</f>
        <v>12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IFERROR(__xludf.DUMMYFUNCTION("IMPORTRANGE(""https://docs.google.com/spreadsheets/d/1SX6NBoVAgQJ6U1MVXOaj8PK2l7WJ3RER9xtqwdhxkhw/edit?usp=sharing"",""ราชบุรี!I399"")"),0.0)</f>
        <v>0</v>
      </c>
      <c r="J504" s="223">
        <f>IFERROR(__xludf.DUMMYFUNCTION("IMPORTRANGE(""https://docs.google.com/spreadsheets/d/1SX6NBoVAgQJ6U1MVXOaj8PK2l7WJ3RER9xtqwdhxkhw/edit?usp=sharing"",""ราชบุรี!J399"")"),0.0)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IFERROR(__xludf.DUMMYFUNCTION("IMPORTRANGE(""https://docs.google.com/spreadsheets/d/1SX6NBoVAgQJ6U1MVXOaj8PK2l7WJ3RER9xtqwdhxkhw/edit?usp=sharing"",""ราชบุรี!I400"")"),0.0)</f>
        <v>0</v>
      </c>
      <c r="J505" s="232">
        <f>IFERROR(__xludf.DUMMYFUNCTION("IMPORTRANGE(""https://docs.google.com/spreadsheets/d/1SX6NBoVAgQJ6U1MVXOaj8PK2l7WJ3RER9xtqwdhxkhw/edit?usp=sharing"",""ราชบุรี!J400"")"),0.0)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IFERROR(__xludf.DUMMYFUNCTION("IMPORTRANGE(""https://docs.google.com/spreadsheets/d/1SX6NBoVAgQJ6U1MVXOaj8PK2l7WJ3RER9xtqwdhxkhw/edit?usp=sharing"",""ราชบุรี!I401"")"),0.0)</f>
        <v>0</v>
      </c>
      <c r="J506" s="223">
        <f>IFERROR(__xludf.DUMMYFUNCTION("IMPORTRANGE(""https://docs.google.com/spreadsheets/d/1SX6NBoVAgQJ6U1MVXOaj8PK2l7WJ3RER9xtqwdhxkhw/edit?usp=sharing"",""ราชบุรี!J401"")"),0.0)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IFERROR(__xludf.DUMMYFUNCTION("IMPORTRANGE(""https://docs.google.com/spreadsheets/d/1SX6NBoVAgQJ6U1MVXOaj8PK2l7WJ3RER9xtqwdhxkhw/edit?usp=sharing"",""ราชบุรี!I402"")"),0.0)</f>
        <v>0</v>
      </c>
      <c r="J507" s="232">
        <f>IFERROR(__xludf.DUMMYFUNCTION("IMPORTRANGE(""https://docs.google.com/spreadsheets/d/1SX6NBoVAgQJ6U1MVXOaj8PK2l7WJ3RER9xtqwdhxkhw/edit?usp=sharing"",""ราชบุรี!J402"")"),0.0)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IFERROR(__xludf.DUMMYFUNCTION("IMPORTRANGE(""https://docs.google.com/spreadsheets/d/1SX6NBoVAgQJ6U1MVXOaj8PK2l7WJ3RER9xtqwdhxkhw/edit?usp=sharing"",""ราชบุรี!I403"")"),0.0)</f>
        <v>0</v>
      </c>
      <c r="J508" s="195">
        <f>IFERROR(__xludf.DUMMYFUNCTION("IMPORTRANGE(""https://docs.google.com/spreadsheets/d/1SX6NBoVAgQJ6U1MVXOaj8PK2l7WJ3RER9xtqwdhxkhw/edit?usp=sharing"",""ราชบุรี!J403"")"),0.0)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IFERROR(__xludf.DUMMYFUNCTION("IMPORTRANGE(""https://docs.google.com/spreadsheets/d/1SX6NBoVAgQJ6U1MVXOaj8PK2l7WJ3RER9xtqwdhxkhw/edit?usp=sharing"",""ราชบุรี!I404"")"),0.0)</f>
        <v>0</v>
      </c>
      <c r="J509" s="195">
        <f>IFERROR(__xludf.DUMMYFUNCTION("IMPORTRANGE(""https://docs.google.com/spreadsheets/d/1SX6NBoVAgQJ6U1MVXOaj8PK2l7WJ3RER9xtqwdhxkhw/edit?usp=sharing"",""ราชบุรี!J404"")"),0.0)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IFERROR(__xludf.DUMMYFUNCTION("IMPORTRANGE(""https://docs.google.com/spreadsheets/d/1SX6NBoVAgQJ6U1MVXOaj8PK2l7WJ3RER9xtqwdhxkhw/edit?usp=sharing"",""ราชบุรี!I405"")"),0.0)</f>
        <v>0</v>
      </c>
      <c r="J510" s="232">
        <f>IFERROR(__xludf.DUMMYFUNCTION("IMPORTRANGE(""https://docs.google.com/spreadsheets/d/1SX6NBoVAgQJ6U1MVXOaj8PK2l7WJ3RER9xtqwdhxkhw/edit?usp=sharing"",""ราชบุรี!J405"")"),0.0)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IFERROR(__xludf.DUMMYFUNCTION("IMPORTRANGE(""https://docs.google.com/spreadsheets/d/1SX6NBoVAgQJ6U1MVXOaj8PK2l7WJ3RER9xtqwdhxkhw/edit?usp=sharing"",""ราชบุรี!I406"")"),0.0)</f>
        <v>0</v>
      </c>
      <c r="J511" s="232">
        <f>IFERROR(__xludf.DUMMYFUNCTION("IMPORTRANGE(""https://docs.google.com/spreadsheets/d/1SX6NBoVAgQJ6U1MVXOaj8PK2l7WJ3RER9xtqwdhxkhw/edit?usp=sharing"",""ราชบุรี!J406"")"),0.0)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IFERROR(__xludf.DUMMYFUNCTION("IMPORTRANGE(""https://docs.google.com/spreadsheets/d/1SX6NBoVAgQJ6U1MVXOaj8PK2l7WJ3RER9xtqwdhxkhw/edit?usp=sharing"",""ราชบุรี!I407"")"),0.0)</f>
        <v>0</v>
      </c>
      <c r="J512" s="232">
        <f>IFERROR(__xludf.DUMMYFUNCTION("IMPORTRANGE(""https://docs.google.com/spreadsheets/d/1SX6NBoVAgQJ6U1MVXOaj8PK2l7WJ3RER9xtqwdhxkhw/edit?usp=sharing"",""ราชบุรี!J407"")"),0.0)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IFERROR(__xludf.DUMMYFUNCTION("IMPORTRANGE(""https://docs.google.com/spreadsheets/d/1SX6NBoVAgQJ6U1MVXOaj8PK2l7WJ3RER9xtqwdhxkhw/edit?usp=sharing"",""ราชบุรี!I408"")"),0.0)</f>
        <v>0</v>
      </c>
      <c r="J513" s="232">
        <f>IFERROR(__xludf.DUMMYFUNCTION("IMPORTRANGE(""https://docs.google.com/spreadsheets/d/1SX6NBoVAgQJ6U1MVXOaj8PK2l7WJ3RER9xtqwdhxkhw/edit?usp=sharing"",""ราชบุรี!J408"")"),0.0)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IFERROR(__xludf.DUMMYFUNCTION("IMPORTRANGE(""https://docs.google.com/spreadsheets/d/1SX6NBoVAgQJ6U1MVXOaj8PK2l7WJ3RER9xtqwdhxkhw/edit?usp=sharing"",""ราชบุรี!I409"")"),0.0)</f>
        <v>0</v>
      </c>
      <c r="J514" s="232">
        <f>IFERROR(__xludf.DUMMYFUNCTION("IMPORTRANGE(""https://docs.google.com/spreadsheets/d/1SX6NBoVAgQJ6U1MVXOaj8PK2l7WJ3RER9xtqwdhxkhw/edit?usp=sharing"",""ราชบุรี!J409"")"),0.0)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IFERROR(__xludf.DUMMYFUNCTION("IMPORTRANGE(""https://docs.google.com/spreadsheets/d/1SX6NBoVAgQJ6U1MVXOaj8PK2l7WJ3RER9xtqwdhxkhw/edit?usp=sharing"",""ราชบุรี!I410"")"),0.0)</f>
        <v>0</v>
      </c>
      <c r="J515" s="232">
        <f>IFERROR(__xludf.DUMMYFUNCTION("IMPORTRANGE(""https://docs.google.com/spreadsheets/d/1SX6NBoVAgQJ6U1MVXOaj8PK2l7WJ3RER9xtqwdhxkhw/edit?usp=sharing"",""ราชบุรี!J410"")"),0.0)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IFERROR(__xludf.DUMMYFUNCTION("IMPORTRANGE(""https://docs.google.com/spreadsheets/d/1SX6NBoVAgQJ6U1MVXOaj8PK2l7WJ3RER9xtqwdhxkhw/edit?usp=sharing"",""ราชบุรี!I411"")"),0.0)</f>
        <v>0</v>
      </c>
      <c r="J516" s="301">
        <f>IFERROR(__xludf.DUMMYFUNCTION("IMPORTRANGE(""https://docs.google.com/spreadsheets/d/1SX6NBoVAgQJ6U1MVXOaj8PK2l7WJ3RER9xtqwdhxkhw/edit?usp=sharing"",""ราชบุรี!J411"")"),0.0)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IFERROR(__xludf.DUMMYFUNCTION("IMPORTRANGE(""https://docs.google.com/spreadsheets/d/1SX6NBoVAgQJ6U1MVXOaj8PK2l7WJ3RER9xtqwdhxkhw/edit?usp=sharing"",""ราชบุรี!I412"")"),0.0)</f>
        <v>0</v>
      </c>
      <c r="J517" s="317">
        <f>IFERROR(__xludf.DUMMYFUNCTION("IMPORTRANGE(""https://docs.google.com/spreadsheets/d/1SX6NBoVAgQJ6U1MVXOaj8PK2l7WJ3RER9xtqwdhxkhw/edit?usp=sharing"",""ราชบุรี!J412"")"),0.0)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IFERROR(__xludf.DUMMYFUNCTION("IMPORTRANGE(""https://docs.google.com/spreadsheets/d/1SX6NBoVAgQJ6U1MVXOaj8PK2l7WJ3RER9xtqwdhxkhw/edit?usp=sharing"",""ราชบุรี!I413"")"),0.0)</f>
        <v>0</v>
      </c>
      <c r="J518" s="317">
        <f>IFERROR(__xludf.DUMMYFUNCTION("IMPORTRANGE(""https://docs.google.com/spreadsheets/d/1SX6NBoVAgQJ6U1MVXOaj8PK2l7WJ3RER9xtqwdhxkhw/edit?usp=sharing"",""ราชบุรี!J413"")"),0.0)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IFERROR(__xludf.DUMMYFUNCTION("IMPORTRANGE(""https://docs.google.com/spreadsheets/d/1SX6NBoVAgQJ6U1MVXOaj8PK2l7WJ3RER9xtqwdhxkhw/edit?usp=sharing"",""ราชบุรี!I414"")"),0.0)</f>
        <v>0</v>
      </c>
      <c r="J519" s="222">
        <f>IFERROR(__xludf.DUMMYFUNCTION("IMPORTRANGE(""https://docs.google.com/spreadsheets/d/1SX6NBoVAgQJ6U1MVXOaj8PK2l7WJ3RER9xtqwdhxkhw/edit?usp=sharing"",""ราชบุรี!J414"")"),0.0)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IFERROR(__xludf.DUMMYFUNCTION("IMPORTRANGE(""https://docs.google.com/spreadsheets/d/1SX6NBoVAgQJ6U1MVXOaj8PK2l7WJ3RER9xtqwdhxkhw/edit?usp=sharing"",""ราชบุรี!I415"")"),0.0)</f>
        <v>0</v>
      </c>
      <c r="J520" s="222">
        <f>IFERROR(__xludf.DUMMYFUNCTION("IMPORTRANGE(""https://docs.google.com/spreadsheets/d/1SX6NBoVAgQJ6U1MVXOaj8PK2l7WJ3RER9xtqwdhxkhw/edit?usp=sharing"",""ราชบุรี!J415"")"),0.0)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IFERROR(__xludf.DUMMYFUNCTION("IMPORTRANGE(""https://docs.google.com/spreadsheets/d/1SX6NBoVAgQJ6U1MVXOaj8PK2l7WJ3RER9xtqwdhxkhw/edit?usp=sharing"",""ราชบุรี!I416"")"),0.0)</f>
        <v>0</v>
      </c>
      <c r="J521" s="222">
        <f>IFERROR(__xludf.DUMMYFUNCTION("IMPORTRANGE(""https://docs.google.com/spreadsheets/d/1SX6NBoVAgQJ6U1MVXOaj8PK2l7WJ3RER9xtqwdhxkhw/edit?usp=sharing"",""ราชบุรี!J416"")"),0.0)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IFERROR(__xludf.DUMMYFUNCTION("IMPORTRANGE(""https://docs.google.com/spreadsheets/d/1SX6NBoVAgQJ6U1MVXOaj8PK2l7WJ3RER9xtqwdhxkhw/edit?usp=sharing"",""ราชบุรี!I417"")"),0.0)</f>
        <v>0</v>
      </c>
      <c r="J522" s="222">
        <f>IFERROR(__xludf.DUMMYFUNCTION("IMPORTRANGE(""https://docs.google.com/spreadsheets/d/1SX6NBoVAgQJ6U1MVXOaj8PK2l7WJ3RER9xtqwdhxkhw/edit?usp=sharing"",""ราชบุรี!J417"")"),0.0)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IFERROR(__xludf.DUMMYFUNCTION("IMPORTRANGE(""https://docs.google.com/spreadsheets/d/1SX6NBoVAgQJ6U1MVXOaj8PK2l7WJ3RER9xtqwdhxkhw/edit?usp=sharing"",""ราชบุรี!I418"")"),0.0)</f>
        <v>0</v>
      </c>
      <c r="J523" s="222">
        <f>IFERROR(__xludf.DUMMYFUNCTION("IMPORTRANGE(""https://docs.google.com/spreadsheets/d/1SX6NBoVAgQJ6U1MVXOaj8PK2l7WJ3RER9xtqwdhxkhw/edit?usp=sharing"",""ราชบุรี!J418"")"),0.0)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IFERROR(__xludf.DUMMYFUNCTION("IMPORTRANGE(""https://docs.google.com/spreadsheets/d/1SX6NBoVAgQJ6U1MVXOaj8PK2l7WJ3RER9xtqwdhxkhw/edit?usp=sharing"",""ราชบุรี!I419"")"),0.0)</f>
        <v>0</v>
      </c>
      <c r="J524" s="222">
        <f>IFERROR(__xludf.DUMMYFUNCTION("IMPORTRANGE(""https://docs.google.com/spreadsheets/d/1SX6NBoVAgQJ6U1MVXOaj8PK2l7WJ3RER9xtqwdhxkhw/edit?usp=sharing"",""ราชบุรี!J419"")"),0.0)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IFERROR(__xludf.DUMMYFUNCTION("IMPORTRANGE(""https://docs.google.com/spreadsheets/d/1SX6NBoVAgQJ6U1MVXOaj8PK2l7WJ3RER9xtqwdhxkhw/edit?usp=sharing"",""ราชบุรี!I420"")"),0.0)</f>
        <v>0</v>
      </c>
      <c r="J525" s="317">
        <f>IFERROR(__xludf.DUMMYFUNCTION("IMPORTRANGE(""https://docs.google.com/spreadsheets/d/1SX6NBoVAgQJ6U1MVXOaj8PK2l7WJ3RER9xtqwdhxkhw/edit?usp=sharing"",""ราชบุรี!J420"")"),0.0)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IFERROR(__xludf.DUMMYFUNCTION("IMPORTRANGE(""https://docs.google.com/spreadsheets/d/1SX6NBoVAgQJ6U1MVXOaj8PK2l7WJ3RER9xtqwdhxkhw/edit?usp=sharing"",""ราชบุรี!I421"")"),0.0)</f>
        <v>0</v>
      </c>
      <c r="J526" s="317">
        <f>IFERROR(__xludf.DUMMYFUNCTION("IMPORTRANGE(""https://docs.google.com/spreadsheets/d/1SX6NBoVAgQJ6U1MVXOaj8PK2l7WJ3RER9xtqwdhxkhw/edit?usp=sharing"",""ราชบุรี!J421"")"),0.0)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IFERROR(__xludf.DUMMYFUNCTION("IMPORTRANGE(""https://docs.google.com/spreadsheets/d/1SX6NBoVAgQJ6U1MVXOaj8PK2l7WJ3RER9xtqwdhxkhw/edit?usp=sharing"",""ราชบุรี!I422"")"),0.0)</f>
        <v>0</v>
      </c>
      <c r="J527" s="232">
        <f>IFERROR(__xludf.DUMMYFUNCTION("IMPORTRANGE(""https://docs.google.com/spreadsheets/d/1SX6NBoVAgQJ6U1MVXOaj8PK2l7WJ3RER9xtqwdhxkhw/edit?usp=sharing"",""ราชบุรี!J422"")"),0.0)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IFERROR(__xludf.DUMMYFUNCTION("IMPORTRANGE(""https://docs.google.com/spreadsheets/d/1SX6NBoVAgQJ6U1MVXOaj8PK2l7WJ3RER9xtqwdhxkhw/edit?usp=sharing"",""ราชบุรี!I423"")"),0.0)</f>
        <v>0</v>
      </c>
      <c r="J528" s="232">
        <f>IFERROR(__xludf.DUMMYFUNCTION("IMPORTRANGE(""https://docs.google.com/spreadsheets/d/1SX6NBoVAgQJ6U1MVXOaj8PK2l7WJ3RER9xtqwdhxkhw/edit?usp=sharing"",""ราชบุรี!J423"")"),0.0)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IFERROR(__xludf.DUMMYFUNCTION("IMPORTRANGE(""https://docs.google.com/spreadsheets/d/1SX6NBoVAgQJ6U1MVXOaj8PK2l7WJ3RER9xtqwdhxkhw/edit?usp=sharing"",""ราชบุรี!I424"")"),0.0)</f>
        <v>0</v>
      </c>
      <c r="J529" s="232">
        <f>IFERROR(__xludf.DUMMYFUNCTION("IMPORTRANGE(""https://docs.google.com/spreadsheets/d/1SX6NBoVAgQJ6U1MVXOaj8PK2l7WJ3RER9xtqwdhxkhw/edit?usp=sharing"",""ราชบุรี!J424"")"),0.0)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IFERROR(__xludf.DUMMYFUNCTION("IMPORTRANGE(""https://docs.google.com/spreadsheets/d/1SX6NBoVAgQJ6U1MVXOaj8PK2l7WJ3RER9xtqwdhxkhw/edit?usp=sharing"",""ราชบุรี!I425"")"),0.0)</f>
        <v>0</v>
      </c>
      <c r="J530" s="232">
        <f>IFERROR(__xludf.DUMMYFUNCTION("IMPORTRANGE(""https://docs.google.com/spreadsheets/d/1SX6NBoVAgQJ6U1MVXOaj8PK2l7WJ3RER9xtqwdhxkhw/edit?usp=sharing"",""ราชบุรี!J425"")"),0.0)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IFERROR(__xludf.DUMMYFUNCTION("IMPORTRANGE(""https://docs.google.com/spreadsheets/d/1SX6NBoVAgQJ6U1MVXOaj8PK2l7WJ3RER9xtqwdhxkhw/edit?usp=sharing"",""ราชบุรี!I426"")"),0.0)</f>
        <v>0</v>
      </c>
      <c r="J531" s="232">
        <f>IFERROR(__xludf.DUMMYFUNCTION("IMPORTRANGE(""https://docs.google.com/spreadsheets/d/1SX6NBoVAgQJ6U1MVXOaj8PK2l7WJ3RER9xtqwdhxkhw/edit?usp=sharing"",""ราชบุรี!J426"")"),0.0)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IFERROR(__xludf.DUMMYFUNCTION("IMPORTRANGE(""https://docs.google.com/spreadsheets/d/1SX6NBoVAgQJ6U1MVXOaj8PK2l7WJ3RER9xtqwdhxkhw/edit?usp=sharing"",""ราชบุรี!I427"")"),0.0)</f>
        <v>0</v>
      </c>
      <c r="J532" s="499">
        <f>IFERROR(__xludf.DUMMYFUNCTION("IMPORTRANGE(""https://docs.google.com/spreadsheets/d/1SX6NBoVAgQJ6U1MVXOaj8PK2l7WJ3RER9xtqwdhxkhw/edit?usp=sharing"",""ราชบุรี!J427"")"),0.0)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IFERROR(__xludf.DUMMYFUNCTION("IMPORTRANGE(""https://docs.google.com/spreadsheets/d/1SX6NBoVAgQJ6U1MVXOaj8PK2l7WJ3RER9xtqwdhxkhw/edit?usp=sharing"",""ราชบุรี!I428"")"),22.0)</f>
        <v>22</v>
      </c>
      <c r="J533" s="443">
        <f>IFERROR(__xludf.DUMMYFUNCTION("IMPORTRANGE(""https://docs.google.com/spreadsheets/d/1SX6NBoVAgQJ6U1MVXOaj8PK2l7WJ3RER9xtqwdhxkhw/edit?usp=sharing"",""ราชบุรี!J428"")"),22.0)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IFERROR(__xludf.DUMMYFUNCTION("IMPORTRANGE(""https://docs.google.com/spreadsheets/d/1SX6NBoVAgQJ6U1MVXOaj8PK2l7WJ3RER9xtqwdhxkhw/edit?usp=sharing"",""ราชบุรี!L428"")"),34340.0)</f>
        <v>34340</v>
      </c>
      <c r="M533" s="445"/>
      <c r="N533" s="445">
        <f>IFERROR(__xludf.DUMMYFUNCTION("IMPORTRANGE(""https://docs.google.com/spreadsheets/d/1SX6NBoVAgQJ6U1MVXOaj8PK2l7WJ3RER9xtqwdhxkhw/edit?usp=sharing"",""ราชบุรี!M428"")"),18816.97)</f>
        <v>18816.97</v>
      </c>
      <c r="O533" s="445">
        <f t="shared" ref="O533:O537" si="119">+IF(L533&gt;0,N533*100/L533,0)</f>
        <v>54.79606872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IFERROR(__xludf.DUMMYFUNCTION("IMPORTRANGE(""https://docs.google.com/spreadsheets/d/1SX6NBoVAgQJ6U1MVXOaj8PK2l7WJ3RER9xtqwdhxkhw/edit?usp=sharing"",""ราชบุรี!L429"")"),0.0)</f>
        <v>0</v>
      </c>
      <c r="M534" s="197"/>
      <c r="N534" s="203">
        <f>IFERROR(__xludf.DUMMYFUNCTION("IMPORTRANGE(""https://docs.google.com/spreadsheets/d/1SX6NBoVAgQJ6U1MVXOaj8PK2l7WJ3RER9xtqwdhxkhw/edit?usp=sharing"",""ราชบุรี!M429"")"),0.0)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IFERROR(__xludf.DUMMYFUNCTION("IMPORTRANGE(""https://docs.google.com/spreadsheets/d/1SX6NBoVAgQJ6U1MVXOaj8PK2l7WJ3RER9xtqwdhxkhw/edit?usp=sharing"",""ราชบุรี!L430"")"),34340.0)</f>
        <v>34340</v>
      </c>
      <c r="M535" s="198"/>
      <c r="N535" s="203">
        <f>IFERROR(__xludf.DUMMYFUNCTION("IMPORTRANGE(""https://docs.google.com/spreadsheets/d/1SX6NBoVAgQJ6U1MVXOaj8PK2l7WJ3RER9xtqwdhxkhw/edit?usp=sharing"",""ราชบุรี!M430"")"),18816.97)</f>
        <v>18816.97</v>
      </c>
      <c r="O535" s="203">
        <f t="shared" si="119"/>
        <v>54.79606872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IFERROR(__xludf.DUMMYFUNCTION("IMPORTRANGE(""https://docs.google.com/spreadsheets/d/1SX6NBoVAgQJ6U1MVXOaj8PK2l7WJ3RER9xtqwdhxkhw/edit?usp=sharing"",""ราชบุรี!L431"")"),0.0)</f>
        <v>0</v>
      </c>
      <c r="M536" s="203"/>
      <c r="N536" s="203">
        <f>IFERROR(__xludf.DUMMYFUNCTION("IMPORTRANGE(""https://docs.google.com/spreadsheets/d/1SX6NBoVAgQJ6U1MVXOaj8PK2l7WJ3RER9xtqwdhxkhw/edit?usp=sharing"",""ราชบุรี!M431"")"),0.0)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IFERROR(__xludf.DUMMYFUNCTION("IMPORTRANGE(""https://docs.google.com/spreadsheets/d/1SX6NBoVAgQJ6U1MVXOaj8PK2l7WJ3RER9xtqwdhxkhw/edit?usp=sharing"",""ราชบุรี!L432"")"),34340.0)</f>
        <v>34340</v>
      </c>
      <c r="M537" s="203"/>
      <c r="N537" s="203">
        <f>IFERROR(__xludf.DUMMYFUNCTION("IMPORTRANGE(""https://docs.google.com/spreadsheets/d/1SX6NBoVAgQJ6U1MVXOaj8PK2l7WJ3RER9xtqwdhxkhw/edit?usp=sharing"",""ราชบุรี!M432"")"),18816.97)</f>
        <v>18816.97</v>
      </c>
      <c r="O537" s="203">
        <f t="shared" si="119"/>
        <v>54.79606872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IFERROR(__xludf.DUMMYFUNCTION("IMPORTRANGE(""https://docs.google.com/spreadsheets/d/1SX6NBoVAgQJ6U1MVXOaj8PK2l7WJ3RER9xtqwdhxkhw/edit?usp=sharing"",""ราชบุรี!M433"")"),15540.0)</f>
        <v>15540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IFERROR(__xludf.DUMMYFUNCTION("IMPORTRANGE(""https://docs.google.com/spreadsheets/d/1SX6NBoVAgQJ6U1MVXOaj8PK2l7WJ3RER9xtqwdhxkhw/edit?usp=sharing"",""ราชบุรี!M434"")"),0.0)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IFERROR(__xludf.DUMMYFUNCTION("IMPORTRANGE(""https://docs.google.com/spreadsheets/d/1SX6NBoVAgQJ6U1MVXOaj8PK2l7WJ3RER9xtqwdhxkhw/edit?usp=sharing"",""ราชบุรี!M435"")"),0.0)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IFERROR(__xludf.DUMMYFUNCTION("IMPORTRANGE(""https://docs.google.com/spreadsheets/d/1SX6NBoVAgQJ6U1MVXOaj8PK2l7WJ3RER9xtqwdhxkhw/edit?usp=sharing"",""ราชบุรี!M436"")"),3276.97)</f>
        <v>3276.97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IFERROR(__xludf.DUMMYFUNCTION("IMPORTRANGE(""https://docs.google.com/spreadsheets/d/1SX6NBoVAgQJ6U1MVXOaj8PK2l7WJ3RER9xtqwdhxkhw/edit?usp=sharing"",""ราชบุรี!J438"")"),0.0)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IFERROR(__xludf.DUMMYFUNCTION("IMPORTRANGE(""https://docs.google.com/spreadsheets/d/1SX6NBoVAgQJ6U1MVXOaj8PK2l7WJ3RER9xtqwdhxkhw/edit?usp=sharing"",""ราชบุรี!J439"")"),1.0)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IFERROR(__xludf.DUMMYFUNCTION("IMPORTRANGE(""https://docs.google.com/spreadsheets/d/1SX6NBoVAgQJ6U1MVXOaj8PK2l7WJ3RER9xtqwdhxkhw/edit?usp=sharing"",""ราชบุรี!J440"")"),1.0)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IFERROR(__xludf.DUMMYFUNCTION("IMPORTRANGE(""https://docs.google.com/spreadsheets/d/1SX6NBoVAgQJ6U1MVXOaj8PK2l7WJ3RER9xtqwdhxkhw/edit?usp=sharing"",""ราชบุรี!J441"")"),1.0)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IFERROR(__xludf.DUMMYFUNCTION("IMPORTRANGE(""https://docs.google.com/spreadsheets/d/1SX6NBoVAgQJ6U1MVXOaj8PK2l7WJ3RER9xtqwdhxkhw/edit?usp=sharing"",""ราชบุรี!I442"")"),22.0)</f>
        <v>22</v>
      </c>
      <c r="J547" s="223">
        <f>IFERROR(__xludf.DUMMYFUNCTION("IMPORTRANGE(""https://docs.google.com/spreadsheets/d/1SX6NBoVAgQJ6U1MVXOaj8PK2l7WJ3RER9xtqwdhxkhw/edit?usp=sharing"",""ราชบุรี!J442"")"),22.0)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IFERROR(__xludf.DUMMYFUNCTION("IMPORTRANGE(""https://docs.google.com/spreadsheets/d/1SX6NBoVAgQJ6U1MVXOaj8PK2l7WJ3RER9xtqwdhxkhw/edit?usp=sharing"",""ราชบุรี!J166"")"),0.0)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IFERROR(__xludf.DUMMYFUNCTION("IMPORTRANGE(""https://docs.google.com/spreadsheets/d/1SX6NBoVAgQJ6U1MVXOaj8PK2l7WJ3RER9xtqwdhxkhw/edit?usp=sharing"",""ราชบุรี!J444"")"),1.0)</f>
        <v>1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IFERROR(__xludf.DUMMYFUNCTION("IMPORTRANGE(""https://docs.google.com/spreadsheets/d/1SX6NBoVAgQJ6U1MVXOaj8PK2l7WJ3RER9xtqwdhxkhw/edit?usp=sharing"",""ราชบุรี!J445"")"),0.0)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IFERROR(__xludf.DUMMYFUNCTION("IMPORTRANGE(""https://docs.google.com/spreadsheets/d/1SX6NBoVAgQJ6U1MVXOaj8PK2l7WJ3RER9xtqwdhxkhw/edit?usp=sharing"",""ราชบุรี!I446"")"),0.0)</f>
        <v>0</v>
      </c>
      <c r="J551" s="443">
        <f>IFERROR(__xludf.DUMMYFUNCTION("IMPORTRANGE(""https://docs.google.com/spreadsheets/d/1SX6NBoVAgQJ6U1MVXOaj8PK2l7WJ3RER9xtqwdhxkhw/edit?usp=sharing"",""ราชบุรี!J446"")"),0.0)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IFERROR(__xludf.DUMMYFUNCTION("IMPORTRANGE(""https://docs.google.com/spreadsheets/d/1SX6NBoVAgQJ6U1MVXOaj8PK2l7WJ3RER9xtqwdhxkhw/edit?usp=sharing"",""ราชบุรี!L446"")"),0.0)</f>
        <v>0</v>
      </c>
      <c r="M551" s="445"/>
      <c r="N551" s="445">
        <f>IFERROR(__xludf.DUMMYFUNCTION("IMPORTRANGE(""https://docs.google.com/spreadsheets/d/1SX6NBoVAgQJ6U1MVXOaj8PK2l7WJ3RER9xtqwdhxkhw/edit?usp=sharing"",""ราชบุรี!M446"")"),0.0)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IFERROR(__xludf.DUMMYFUNCTION("IMPORTRANGE(""https://docs.google.com/spreadsheets/d/1SX6NBoVAgQJ6U1MVXOaj8PK2l7WJ3RER9xtqwdhxkhw/edit?usp=sharing"",""ราชบุรี!L447"")"),0.0)</f>
        <v>0</v>
      </c>
      <c r="M552" s="197"/>
      <c r="N552" s="203">
        <f>IFERROR(__xludf.DUMMYFUNCTION("IMPORTRANGE(""https://docs.google.com/spreadsheets/d/1SX6NBoVAgQJ6U1MVXOaj8PK2l7WJ3RER9xtqwdhxkhw/edit?usp=sharing"",""ราชบุรี!M447"")"),0.0)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IFERROR(__xludf.DUMMYFUNCTION("IMPORTRANGE(""https://docs.google.com/spreadsheets/d/1SX6NBoVAgQJ6U1MVXOaj8PK2l7WJ3RER9xtqwdhxkhw/edit?usp=sharing"",""ราชบุรี!L448"")"),0.0)</f>
        <v>0</v>
      </c>
      <c r="M553" s="198"/>
      <c r="N553" s="203">
        <f>IFERROR(__xludf.DUMMYFUNCTION("IMPORTRANGE(""https://docs.google.com/spreadsheets/d/1SX6NBoVAgQJ6U1MVXOaj8PK2l7WJ3RER9xtqwdhxkhw/edit?usp=sharing"",""ราชบุรี!M448"")"),0.0)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IFERROR(__xludf.DUMMYFUNCTION("IMPORTRANGE(""https://docs.google.com/spreadsheets/d/1SX6NBoVAgQJ6U1MVXOaj8PK2l7WJ3RER9xtqwdhxkhw/edit?usp=sharing"",""ราชบุรี!L449"")"),0.0)</f>
        <v>0</v>
      </c>
      <c r="M554" s="203"/>
      <c r="N554" s="203">
        <f>IFERROR(__xludf.DUMMYFUNCTION("IMPORTRANGE(""https://docs.google.com/spreadsheets/d/1SX6NBoVAgQJ6U1MVXOaj8PK2l7WJ3RER9xtqwdhxkhw/edit?usp=sharing"",""ราชบุรี!M449"")"),0.0)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IFERROR(__xludf.DUMMYFUNCTION("IMPORTRANGE(""https://docs.google.com/spreadsheets/d/1SX6NBoVAgQJ6U1MVXOaj8PK2l7WJ3RER9xtqwdhxkhw/edit?usp=sharing"",""ราชบุรี!L450"")"),0.0)</f>
        <v>0</v>
      </c>
      <c r="M555" s="203"/>
      <c r="N555" s="203">
        <f>IFERROR(__xludf.DUMMYFUNCTION("IMPORTRANGE(""https://docs.google.com/spreadsheets/d/1SX6NBoVAgQJ6U1MVXOaj8PK2l7WJ3RER9xtqwdhxkhw/edit?usp=sharing"",""ราชบุรี!M450"")"),0.0)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IFERROR(__xludf.DUMMYFUNCTION("IMPORTRANGE(""https://docs.google.com/spreadsheets/d/1SX6NBoVAgQJ6U1MVXOaj8PK2l7WJ3RER9xtqwdhxkhw/edit?usp=sharing"",""ราชบุรี!M451"")"),0.0)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IFERROR(__xludf.DUMMYFUNCTION("IMPORTRANGE(""https://docs.google.com/spreadsheets/d/1SX6NBoVAgQJ6U1MVXOaj8PK2l7WJ3RER9xtqwdhxkhw/edit?usp=sharing"",""ราชบุรี!M452"")"),0.0)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IFERROR(__xludf.DUMMYFUNCTION("IMPORTRANGE(""https://docs.google.com/spreadsheets/d/1SX6NBoVAgQJ6U1MVXOaj8PK2l7WJ3RER9xtqwdhxkhw/edit?usp=sharing"",""ราชบุรี!M453"")"),0.0)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IFERROR(__xludf.DUMMYFUNCTION("IMPORTRANGE(""https://docs.google.com/spreadsheets/d/1SX6NBoVAgQJ6U1MVXOaj8PK2l7WJ3RER9xtqwdhxkhw/edit?usp=sharing"",""ราชบุรี!M454"")"),0.0)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IFERROR(__xludf.DUMMYFUNCTION("IMPORTRANGE(""https://docs.google.com/spreadsheets/d/1SX6NBoVAgQJ6U1MVXOaj8PK2l7WJ3RER9xtqwdhxkhw/edit?usp=sharing"",""ราชบุรี!I455"")"),0.0)</f>
        <v>0</v>
      </c>
      <c r="J560" s="195">
        <f>IFERROR(__xludf.DUMMYFUNCTION("IMPORTRANGE(""https://docs.google.com/spreadsheets/d/1SX6NBoVAgQJ6U1MVXOaj8PK2l7WJ3RER9xtqwdhxkhw/edit?usp=sharing"",""ราชบุรี!J455"")"),0.0)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IFERROR(__xludf.DUMMYFUNCTION("IMPORTRANGE(""https://docs.google.com/spreadsheets/d/1SX6NBoVAgQJ6U1MVXOaj8PK2l7WJ3RER9xtqwdhxkhw/edit?usp=sharing"",""ราชบุรี!I456"")"),0.0)</f>
        <v>0</v>
      </c>
      <c r="J561" s="238">
        <f>IFERROR(__xludf.DUMMYFUNCTION("IMPORTRANGE(""https://docs.google.com/spreadsheets/d/1SX6NBoVAgQJ6U1MVXOaj8PK2l7WJ3RER9xtqwdhxkhw/edit?usp=sharing"",""ราชบุรี!J456"")"),0.0)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IFERROR(__xludf.DUMMYFUNCTION("IMPORTRANGE(""https://docs.google.com/spreadsheets/d/1SX6NBoVAgQJ6U1MVXOaj8PK2l7WJ3RER9xtqwdhxkhw/edit?usp=sharing"",""ราชบุรี!I457"")"),"")</f>
        <v/>
      </c>
      <c r="J562" s="238" t="str">
        <f>IFERROR(__xludf.DUMMYFUNCTION("IMPORTRANGE(""https://docs.google.com/spreadsheets/d/1SX6NBoVAgQJ6U1MVXOaj8PK2l7WJ3RER9xtqwdhxkhw/edit?usp=sharing"",""ราชบุรี!J457"")"),"")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IFERROR(__xludf.DUMMYFUNCTION("IMPORTRANGE(""https://docs.google.com/spreadsheets/d/1SX6NBoVAgQJ6U1MVXOaj8PK2l7WJ3RER9xtqwdhxkhw/edit?usp=sharing"",""ราชบุรี!I458"")"),"")</f>
        <v/>
      </c>
      <c r="J563" s="222" t="str">
        <f>IFERROR(__xludf.DUMMYFUNCTION("IMPORTRANGE(""https://docs.google.com/spreadsheets/d/1SX6NBoVAgQJ6U1MVXOaj8PK2l7WJ3RER9xtqwdhxkhw/edit?usp=sharing"",""ราชบุรี!J458"")"),"")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IFERROR(__xludf.DUMMYFUNCTION("IMPORTRANGE(""https://docs.google.com/spreadsheets/d/1SX6NBoVAgQJ6U1MVXOaj8PK2l7WJ3RER9xtqwdhxkhw/edit?usp=sharing"",""ราชบุรี!I459"")"),550.0)</f>
        <v>550</v>
      </c>
      <c r="J564" s="404">
        <f>IFERROR(__xludf.DUMMYFUNCTION("IMPORTRANGE(""https://docs.google.com/spreadsheets/d/1SX6NBoVAgQJ6U1MVXOaj8PK2l7WJ3RER9xtqwdhxkhw/edit?usp=sharing"",""ราชบุรี!J459"")"),1255.0)</f>
        <v>1255</v>
      </c>
      <c r="K564" s="405">
        <f t="shared" si="122"/>
        <v>228.1818182</v>
      </c>
      <c r="L564" s="406">
        <f>IFERROR(__xludf.DUMMYFUNCTION("IMPORTRANGE(""https://docs.google.com/spreadsheets/d/1SX6NBoVAgQJ6U1MVXOaj8PK2l7WJ3RER9xtqwdhxkhw/edit?usp=sharing"",""ราชบุรี!L459"")"),126080.0)</f>
        <v>126080</v>
      </c>
      <c r="M564" s="406"/>
      <c r="N564" s="406">
        <f>IFERROR(__xludf.DUMMYFUNCTION("IMPORTRANGE(""https://docs.google.com/spreadsheets/d/1SX6NBoVAgQJ6U1MVXOaj8PK2l7WJ3RER9xtqwdhxkhw/edit?usp=sharing"",""ราชบุรี!M459"")"),55983.88)</f>
        <v>55983.88</v>
      </c>
      <c r="O564" s="406">
        <f t="shared" ref="O564:O568" si="123">+IF(L564&gt;0,N564*100/L564,0)</f>
        <v>44.40345812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IFERROR(__xludf.DUMMYFUNCTION("IMPORTRANGE(""https://docs.google.com/spreadsheets/d/1SX6NBoVAgQJ6U1MVXOaj8PK2l7WJ3RER9xtqwdhxkhw/edit?usp=sharing"",""ราชบุรี!L460"")"),0.0)</f>
        <v>0</v>
      </c>
      <c r="M565" s="197"/>
      <c r="N565" s="203">
        <f>IFERROR(__xludf.DUMMYFUNCTION("IMPORTRANGE(""https://docs.google.com/spreadsheets/d/1SX6NBoVAgQJ6U1MVXOaj8PK2l7WJ3RER9xtqwdhxkhw/edit?usp=sharing"",""ราชบุรี!M460"")"),0.0)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IFERROR(__xludf.DUMMYFUNCTION("IMPORTRANGE(""https://docs.google.com/spreadsheets/d/1SX6NBoVAgQJ6U1MVXOaj8PK2l7WJ3RER9xtqwdhxkhw/edit?usp=sharing"",""ราชบุรี!L461"")"),126080.0)</f>
        <v>126080</v>
      </c>
      <c r="M566" s="198"/>
      <c r="N566" s="203">
        <f>IFERROR(__xludf.DUMMYFUNCTION("IMPORTRANGE(""https://docs.google.com/spreadsheets/d/1SX6NBoVAgQJ6U1MVXOaj8PK2l7WJ3RER9xtqwdhxkhw/edit?usp=sharing"",""ราชบุรี!M461"")"),55983.88)</f>
        <v>55983.88</v>
      </c>
      <c r="O566" s="203">
        <f t="shared" si="123"/>
        <v>44.40345812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IFERROR(__xludf.DUMMYFUNCTION("IMPORTRANGE(""https://docs.google.com/spreadsheets/d/1SX6NBoVAgQJ6U1MVXOaj8PK2l7WJ3RER9xtqwdhxkhw/edit?usp=sharing"",""ราชบุรี!L462"")"),0.0)</f>
        <v>0</v>
      </c>
      <c r="M567" s="203"/>
      <c r="N567" s="203">
        <f>IFERROR(__xludf.DUMMYFUNCTION("IMPORTRANGE(""https://docs.google.com/spreadsheets/d/1SX6NBoVAgQJ6U1MVXOaj8PK2l7WJ3RER9xtqwdhxkhw/edit?usp=sharing"",""ราชบุรี!M462"")"),0.0)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IFERROR(__xludf.DUMMYFUNCTION("IMPORTRANGE(""https://docs.google.com/spreadsheets/d/1SX6NBoVAgQJ6U1MVXOaj8PK2l7WJ3RER9xtqwdhxkhw/edit?usp=sharing"",""ราชบุรี!L463"")"),126080.0)</f>
        <v>126080</v>
      </c>
      <c r="M568" s="203"/>
      <c r="N568" s="203">
        <f>IFERROR(__xludf.DUMMYFUNCTION("IMPORTRANGE(""https://docs.google.com/spreadsheets/d/1SX6NBoVAgQJ6U1MVXOaj8PK2l7WJ3RER9xtqwdhxkhw/edit?usp=sharing"",""ราชบุรี!M463"")"),55983.88)</f>
        <v>55983.88</v>
      </c>
      <c r="O568" s="203">
        <f t="shared" si="123"/>
        <v>44.40345812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IFERROR(__xludf.DUMMYFUNCTION("IMPORTRANGE(""https://docs.google.com/spreadsheets/d/1SX6NBoVAgQJ6U1MVXOaj8PK2l7WJ3RER9xtqwdhxkhw/edit?usp=sharing"",""ราชบุรี!M464"")"),0.0)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IFERROR(__xludf.DUMMYFUNCTION("IMPORTRANGE(""https://docs.google.com/spreadsheets/d/1SX6NBoVAgQJ6U1MVXOaj8PK2l7WJ3RER9xtqwdhxkhw/edit?usp=sharing"",""ราชบุรี!M465"")"),0.0)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IFERROR(__xludf.DUMMYFUNCTION("IMPORTRANGE(""https://docs.google.com/spreadsheets/d/1SX6NBoVAgQJ6U1MVXOaj8PK2l7WJ3RER9xtqwdhxkhw/edit?usp=sharing"",""ราชบุรี!M466"")"),40983.88)</f>
        <v>40983.88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IFERROR(__xludf.DUMMYFUNCTION("IMPORTRANGE(""https://docs.google.com/spreadsheets/d/1SX6NBoVAgQJ6U1MVXOaj8PK2l7WJ3RER9xtqwdhxkhw/edit?usp=sharing"",""ราชบุรี!M467"")"),15000.0)</f>
        <v>15000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IFERROR(__xludf.DUMMYFUNCTION("IMPORTRANGE(""https://docs.google.com/spreadsheets/d/1SX6NBoVAgQJ6U1MVXOaj8PK2l7WJ3RER9xtqwdhxkhw/edit?usp=sharing"",""ราชบุรี!I468"")"),550.0)</f>
        <v>550</v>
      </c>
      <c r="J573" s="453">
        <f>IFERROR(__xludf.DUMMYFUNCTION("IMPORTRANGE(""https://docs.google.com/spreadsheets/d/1SX6NBoVAgQJ6U1MVXOaj8PK2l7WJ3RER9xtqwdhxkhw/edit?usp=sharing"",""ราชบุรี!J468"")"),1255.0)</f>
        <v>1255</v>
      </c>
      <c r="K573" s="236">
        <f>IF(I573&gt;0,J573*100/I573,0)</f>
        <v>228.1818182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IFERROR(__xludf.DUMMYFUNCTION("IMPORTRANGE(""https://docs.google.com/spreadsheets/d/1SX6NBoVAgQJ6U1MVXOaj8PK2l7WJ3RER9xtqwdhxkhw/edit?usp=sharing"",""ราชบุรี!I470"")"),0.0)</f>
        <v>0</v>
      </c>
      <c r="J575" s="232">
        <f>IFERROR(__xludf.DUMMYFUNCTION("IMPORTRANGE(""https://docs.google.com/spreadsheets/d/1SX6NBoVAgQJ6U1MVXOaj8PK2l7WJ3RER9xtqwdhxkhw/edit?usp=sharing"",""ราชบุรี!J470"")"),1.0)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IFERROR(__xludf.DUMMYFUNCTION("IMPORTRANGE(""https://docs.google.com/spreadsheets/d/1SX6NBoVAgQJ6U1MVXOaj8PK2l7WJ3RER9xtqwdhxkhw/edit?usp=sharing"",""ราชบุรี!I471"")"),0.0)</f>
        <v>0</v>
      </c>
      <c r="J576" s="232">
        <f>IFERROR(__xludf.DUMMYFUNCTION("IMPORTRANGE(""https://docs.google.com/spreadsheets/d/1SX6NBoVAgQJ6U1MVXOaj8PK2l7WJ3RER9xtqwdhxkhw/edit?usp=sharing"",""ราชบุรี!J471"")"),24.0)</f>
        <v>24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IFERROR(__xludf.DUMMYFUNCTION("IMPORTRANGE(""https://docs.google.com/spreadsheets/d/1SX6NBoVAgQJ6U1MVXOaj8PK2l7WJ3RER9xtqwdhxkhw/edit?usp=sharing"",""ราชบุรี!I472"")"),0.0)</f>
        <v>0</v>
      </c>
      <c r="J577" s="223">
        <f>IFERROR(__xludf.DUMMYFUNCTION("IMPORTRANGE(""https://docs.google.com/spreadsheets/d/1SX6NBoVAgQJ6U1MVXOaj8PK2l7WJ3RER9xtqwdhxkhw/edit?usp=sharing"",""ราชบุรี!J472"")"),1222.0)</f>
        <v>1222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IFERROR(__xludf.DUMMYFUNCTION("IMPORTRANGE(""https://docs.google.com/spreadsheets/d/1SX6NBoVAgQJ6U1MVXOaj8PK2l7WJ3RER9xtqwdhxkhw/edit?usp=sharing"",""ราชบุรี!I473"")"),0.0)</f>
        <v>0</v>
      </c>
      <c r="J578" s="232">
        <f>IFERROR(__xludf.DUMMYFUNCTION("IMPORTRANGE(""https://docs.google.com/spreadsheets/d/1SX6NBoVAgQJ6U1MVXOaj8PK2l7WJ3RER9xtqwdhxkhw/edit?usp=sharing"",""ราชบุรี!J473"")"),2.0)</f>
        <v>2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IFERROR(__xludf.DUMMYFUNCTION("IMPORTRANGE(""https://docs.google.com/spreadsheets/d/1SX6NBoVAgQJ6U1MVXOaj8PK2l7WJ3RER9xtqwdhxkhw/edit?usp=sharing"",""ราชบุรี!I474"")"),0.0)</f>
        <v>0</v>
      </c>
      <c r="J579" s="232">
        <f>IFERROR(__xludf.DUMMYFUNCTION("IMPORTRANGE(""https://docs.google.com/spreadsheets/d/1SX6NBoVAgQJ6U1MVXOaj8PK2l7WJ3RER9xtqwdhxkhw/edit?usp=sharing"",""ราชบุรี!J474"")"),7.0)</f>
        <v>7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IFERROR(__xludf.DUMMYFUNCTION("IMPORTRANGE(""https://docs.google.com/spreadsheets/d/1SX6NBoVAgQJ6U1MVXOaj8PK2l7WJ3RER9xtqwdhxkhw/edit?usp=sharing"",""ราชบุรี!I475"")"),0.0)</f>
        <v>0</v>
      </c>
      <c r="J580" s="404">
        <f>IFERROR(__xludf.DUMMYFUNCTION("IMPORTRANGE(""https://docs.google.com/spreadsheets/d/1SX6NBoVAgQJ6U1MVXOaj8PK2l7WJ3RER9xtqwdhxkhw/edit?usp=sharing"",""ราชบุรี!J475"")"),0.0)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IFERROR(__xludf.DUMMYFUNCTION("IMPORTRANGE(""https://docs.google.com/spreadsheets/d/1SX6NBoVAgQJ6U1MVXOaj8PK2l7WJ3RER9xtqwdhxkhw/edit?usp=sharing"",""ราชบุรี!L475"")"),0.0)</f>
        <v>0</v>
      </c>
      <c r="M580" s="406"/>
      <c r="N580" s="406">
        <f>IFERROR(__xludf.DUMMYFUNCTION("IMPORTRANGE(""https://docs.google.com/spreadsheets/d/1SX6NBoVAgQJ6U1MVXOaj8PK2l7WJ3RER9xtqwdhxkhw/edit?usp=sharing"",""ราชบุรี!M475"")"),0.0)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IFERROR(__xludf.DUMMYFUNCTION("IMPORTRANGE(""https://docs.google.com/spreadsheets/d/1SX6NBoVAgQJ6U1MVXOaj8PK2l7WJ3RER9xtqwdhxkhw/edit?usp=sharing"",""ราชบุรี!L476"")"),0.0)</f>
        <v>0</v>
      </c>
      <c r="M581" s="197"/>
      <c r="N581" s="203">
        <f>IFERROR(__xludf.DUMMYFUNCTION("IMPORTRANGE(""https://docs.google.com/spreadsheets/d/1SX6NBoVAgQJ6U1MVXOaj8PK2l7WJ3RER9xtqwdhxkhw/edit?usp=sharing"",""ราชบุรี!M476"")"),0.0)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IFERROR(__xludf.DUMMYFUNCTION("IMPORTRANGE(""https://docs.google.com/spreadsheets/d/1SX6NBoVAgQJ6U1MVXOaj8PK2l7WJ3RER9xtqwdhxkhw/edit?usp=sharing"",""ราชบุรี!L477"")"),0.0)</f>
        <v>0</v>
      </c>
      <c r="M582" s="198"/>
      <c r="N582" s="203">
        <f>IFERROR(__xludf.DUMMYFUNCTION("IMPORTRANGE(""https://docs.google.com/spreadsheets/d/1SX6NBoVAgQJ6U1MVXOaj8PK2l7WJ3RER9xtqwdhxkhw/edit?usp=sharing"",""ราชบุรี!M477"")"),0.0)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IFERROR(__xludf.DUMMYFUNCTION("IMPORTRANGE(""https://docs.google.com/spreadsheets/d/1SX6NBoVAgQJ6U1MVXOaj8PK2l7WJ3RER9xtqwdhxkhw/edit?usp=sharing"",""ราชบุรี!L478"")"),0.0)</f>
        <v>0</v>
      </c>
      <c r="M583" s="203"/>
      <c r="N583" s="203">
        <f>IFERROR(__xludf.DUMMYFUNCTION("IMPORTRANGE(""https://docs.google.com/spreadsheets/d/1SX6NBoVAgQJ6U1MVXOaj8PK2l7WJ3RER9xtqwdhxkhw/edit?usp=sharing"",""ราชบุรี!M478"")"),0.0)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IFERROR(__xludf.DUMMYFUNCTION("IMPORTRANGE(""https://docs.google.com/spreadsheets/d/1SX6NBoVAgQJ6U1MVXOaj8PK2l7WJ3RER9xtqwdhxkhw/edit?usp=sharing"",""ราชบุรี!L479"")"),0.0)</f>
        <v>0</v>
      </c>
      <c r="M584" s="203"/>
      <c r="N584" s="203">
        <f>IFERROR(__xludf.DUMMYFUNCTION("IMPORTRANGE(""https://docs.google.com/spreadsheets/d/1SX6NBoVAgQJ6U1MVXOaj8PK2l7WJ3RER9xtqwdhxkhw/edit?usp=sharing"",""ราชบุรี!M479"")"),0.0)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IFERROR(__xludf.DUMMYFUNCTION("IMPORTRANGE(""https://docs.google.com/spreadsheets/d/1SX6NBoVAgQJ6U1MVXOaj8PK2l7WJ3RER9xtqwdhxkhw/edit?usp=sharing"",""ราชบุรี!M480"")"),0.0)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IFERROR(__xludf.DUMMYFUNCTION("IMPORTRANGE(""https://docs.google.com/spreadsheets/d/1SX6NBoVAgQJ6U1MVXOaj8PK2l7WJ3RER9xtqwdhxkhw/edit?usp=sharing"",""ราชบุรี!M481"")"),0.0)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IFERROR(__xludf.DUMMYFUNCTION("IMPORTRANGE(""https://docs.google.com/spreadsheets/d/1SX6NBoVAgQJ6U1MVXOaj8PK2l7WJ3RER9xtqwdhxkhw/edit?usp=sharing"",""ราชบุรี!M482"")"),0.0)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IFERROR(__xludf.DUMMYFUNCTION("IMPORTRANGE(""https://docs.google.com/spreadsheets/d/1SX6NBoVAgQJ6U1MVXOaj8PK2l7WJ3RER9xtqwdhxkhw/edit?usp=sharing"",""ราชบุรี!M483"")"),0.0)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IFERROR(__xludf.DUMMYFUNCTION("IMPORTRANGE(""https://docs.google.com/spreadsheets/d/1SX6NBoVAgQJ6U1MVXOaj8PK2l7WJ3RER9xtqwdhxkhw/edit?usp=sharing"",""ราชบุรี!I484"")"),0.0)</f>
        <v>0</v>
      </c>
      <c r="J589" s="222">
        <f>IFERROR(__xludf.DUMMYFUNCTION("IMPORTRANGE(""https://docs.google.com/spreadsheets/d/1SX6NBoVAgQJ6U1MVXOaj8PK2l7WJ3RER9xtqwdhxkhw/edit?usp=sharing"",""ราชบุรี!J484"")"),0.0)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IFERROR(__xludf.DUMMYFUNCTION("IMPORTRANGE(""https://docs.google.com/spreadsheets/d/1SX6NBoVAgQJ6U1MVXOaj8PK2l7WJ3RER9xtqwdhxkhw/edit?usp=sharing"",""ราชบุรี!I485"")"),0.0)</f>
        <v>0</v>
      </c>
      <c r="J590" s="222">
        <f>IFERROR(__xludf.DUMMYFUNCTION("IMPORTRANGE(""https://docs.google.com/spreadsheets/d/1SX6NBoVAgQJ6U1MVXOaj8PK2l7WJ3RER9xtqwdhxkhw/edit?usp=sharing"",""ราชบุรี!J485"")"),0.0)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IFERROR(__xludf.DUMMYFUNCTION("IMPORTRANGE(""https://docs.google.com/spreadsheets/d/1SX6NBoVAgQJ6U1MVXOaj8PK2l7WJ3RER9xtqwdhxkhw/edit?usp=sharing"",""ราชบุรี!I486"")"),0.0)</f>
        <v>0</v>
      </c>
      <c r="J591" s="222">
        <f>IFERROR(__xludf.DUMMYFUNCTION("IMPORTRANGE(""https://docs.google.com/spreadsheets/d/1SX6NBoVAgQJ6U1MVXOaj8PK2l7WJ3RER9xtqwdhxkhw/edit?usp=sharing"",""ราชบุรี!J486"")"),0.0)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IFERROR(__xludf.DUMMYFUNCTION("IMPORTRANGE(""https://docs.google.com/spreadsheets/d/1SX6NBoVAgQJ6U1MVXOaj8PK2l7WJ3RER9xtqwdhxkhw/edit?usp=sharing"",""ราชบุรี!I487"")"),0.0)</f>
        <v>0</v>
      </c>
      <c r="J592" s="222">
        <f>IFERROR(__xludf.DUMMYFUNCTION("IMPORTRANGE(""https://docs.google.com/spreadsheets/d/1SX6NBoVAgQJ6U1MVXOaj8PK2l7WJ3RER9xtqwdhxkhw/edit?usp=sharing"",""ราชบุรี!J487"")"),0.0)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IFERROR(__xludf.DUMMYFUNCTION("IMPORTRANGE(""https://docs.google.com/spreadsheets/d/1SX6NBoVAgQJ6U1MVXOaj8PK2l7WJ3RER9xtqwdhxkhw/edit?usp=sharing"",""ราชบุรี!I488"")"),0.0)</f>
        <v>0</v>
      </c>
      <c r="J593" s="222">
        <f>IFERROR(__xludf.DUMMYFUNCTION("IMPORTRANGE(""https://docs.google.com/spreadsheets/d/1SX6NBoVAgQJ6U1MVXOaj8PK2l7WJ3RER9xtqwdhxkhw/edit?usp=sharing"",""ราชบุรี!J488"")"),0.0)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IFERROR(__xludf.DUMMYFUNCTION("IMPORTRANGE(""https://docs.google.com/spreadsheets/d/1SX6NBoVAgQJ6U1MVXOaj8PK2l7WJ3RER9xtqwdhxkhw/edit?usp=sharing"",""ราชบุรี!I489"")"),0.0)</f>
        <v>0</v>
      </c>
      <c r="J594" s="222">
        <f>IFERROR(__xludf.DUMMYFUNCTION("IMPORTRANGE(""https://docs.google.com/spreadsheets/d/1SX6NBoVAgQJ6U1MVXOaj8PK2l7WJ3RER9xtqwdhxkhw/edit?usp=sharing"",""ราชบุรี!J489"")"),0.0)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IFERROR(__xludf.DUMMYFUNCTION("IMPORTRANGE(""https://docs.google.com/spreadsheets/d/1SX6NBoVAgQJ6U1MVXOaj8PK2l7WJ3RER9xtqwdhxkhw/edit?usp=sharing"",""ราชบุรี!I490"")"),0.0)</f>
        <v>0</v>
      </c>
      <c r="J595" s="222">
        <f>IFERROR(__xludf.DUMMYFUNCTION("IMPORTRANGE(""https://docs.google.com/spreadsheets/d/1SX6NBoVAgQJ6U1MVXOaj8PK2l7WJ3RER9xtqwdhxkhw/edit?usp=sharing"",""ราชบุรี!J490"")"),0.0)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IFERROR(__xludf.DUMMYFUNCTION("IMPORTRANGE(""https://docs.google.com/spreadsheets/d/1SX6NBoVAgQJ6U1MVXOaj8PK2l7WJ3RER9xtqwdhxkhw/edit?usp=sharing"",""ราชบุรี!I491"")"),0.0)</f>
        <v>0</v>
      </c>
      <c r="J596" s="275">
        <f>IFERROR(__xludf.DUMMYFUNCTION("IMPORTRANGE(""https://docs.google.com/spreadsheets/d/1SX6NBoVAgQJ6U1MVXOaj8PK2l7WJ3RER9xtqwdhxkhw/edit?usp=sharing"",""ราชบุรี!J491"")"),0.0)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IFERROR(__xludf.DUMMYFUNCTION("IMPORTRANGE(""https://docs.google.com/spreadsheets/d/1SX6NBoVAgQJ6U1MVXOaj8PK2l7WJ3RER9xtqwdhxkhw/edit?usp=sharing"",""ราชบุรี!I492"")"),50.0)</f>
        <v>50</v>
      </c>
      <c r="J597" s="520">
        <f>IFERROR(__xludf.DUMMYFUNCTION("IMPORTRANGE(""https://docs.google.com/spreadsheets/d/1SX6NBoVAgQJ6U1MVXOaj8PK2l7WJ3RER9xtqwdhxkhw/edit?usp=sharing"",""ราชบุรี!J492"")"),0.0)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IFERROR(__xludf.DUMMYFUNCTION("IMPORTRANGE(""https://docs.google.com/spreadsheets/d/1SX6NBoVAgQJ6U1MVXOaj8PK2l7WJ3RER9xtqwdhxkhw/edit?usp=sharing"",""ราชบุรี!L492"")"),5350.0)</f>
        <v>5350</v>
      </c>
      <c r="M597" s="445"/>
      <c r="N597" s="445">
        <f>IFERROR(__xludf.DUMMYFUNCTION("IMPORTRANGE(""https://docs.google.com/spreadsheets/d/1SX6NBoVAgQJ6U1MVXOaj8PK2l7WJ3RER9xtqwdhxkhw/edit?usp=sharing"",""ราชบุรี!M492"")"),300.0)</f>
        <v>300</v>
      </c>
      <c r="O597" s="445">
        <f t="shared" ref="O597:O601" si="127">+IF(L597&gt;0,N597*100/L597,0)</f>
        <v>5.607476636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IFERROR(__xludf.DUMMYFUNCTION("IMPORTRANGE(""https://docs.google.com/spreadsheets/d/1SX6NBoVAgQJ6U1MVXOaj8PK2l7WJ3RER9xtqwdhxkhw/edit?usp=sharing"",""ราชบุรี!L493"")"),0.0)</f>
        <v>0</v>
      </c>
      <c r="M598" s="197"/>
      <c r="N598" s="203">
        <f>IFERROR(__xludf.DUMMYFUNCTION("IMPORTRANGE(""https://docs.google.com/spreadsheets/d/1SX6NBoVAgQJ6U1MVXOaj8PK2l7WJ3RER9xtqwdhxkhw/edit?usp=sharing"",""ราชบุรี!M493"")"),0.0)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IFERROR(__xludf.DUMMYFUNCTION("IMPORTRANGE(""https://docs.google.com/spreadsheets/d/1SX6NBoVAgQJ6U1MVXOaj8PK2l7WJ3RER9xtqwdhxkhw/edit?usp=sharing"",""ราชบุรี!L494"")"),5350.0)</f>
        <v>5350</v>
      </c>
      <c r="M599" s="198"/>
      <c r="N599" s="203">
        <f>IFERROR(__xludf.DUMMYFUNCTION("IMPORTRANGE(""https://docs.google.com/spreadsheets/d/1SX6NBoVAgQJ6U1MVXOaj8PK2l7WJ3RER9xtqwdhxkhw/edit?usp=sharing"",""ราชบุรี!M494"")"),300.0)</f>
        <v>300</v>
      </c>
      <c r="O599" s="203">
        <f t="shared" si="127"/>
        <v>5.607476636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IFERROR(__xludf.DUMMYFUNCTION("IMPORTRANGE(""https://docs.google.com/spreadsheets/d/1SX6NBoVAgQJ6U1MVXOaj8PK2l7WJ3RER9xtqwdhxkhw/edit?usp=sharing"",""ราชบุรี!L495"")"),0.0)</f>
        <v>0</v>
      </c>
      <c r="M600" s="203"/>
      <c r="N600" s="203">
        <f>IFERROR(__xludf.DUMMYFUNCTION("IMPORTRANGE(""https://docs.google.com/spreadsheets/d/1SX6NBoVAgQJ6U1MVXOaj8PK2l7WJ3RER9xtqwdhxkhw/edit?usp=sharing"",""ราชบุรี!M495"")"),0.0)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IFERROR(__xludf.DUMMYFUNCTION("IMPORTRANGE(""https://docs.google.com/spreadsheets/d/1SX6NBoVAgQJ6U1MVXOaj8PK2l7WJ3RER9xtqwdhxkhw/edit?usp=sharing"",""ราชบุรี!L496"")"),5350.0)</f>
        <v>5350</v>
      </c>
      <c r="M601" s="203"/>
      <c r="N601" s="203">
        <f>IFERROR(__xludf.DUMMYFUNCTION("IMPORTRANGE(""https://docs.google.com/spreadsheets/d/1SX6NBoVAgQJ6U1MVXOaj8PK2l7WJ3RER9xtqwdhxkhw/edit?usp=sharing"",""ราชบุรี!M496"")"),300.0)</f>
        <v>300</v>
      </c>
      <c r="O601" s="203">
        <f t="shared" si="127"/>
        <v>5.607476636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IFERROR(__xludf.DUMMYFUNCTION("IMPORTRANGE(""https://docs.google.com/spreadsheets/d/1SX6NBoVAgQJ6U1MVXOaj8PK2l7WJ3RER9xtqwdhxkhw/edit?usp=sharing"",""ราชบุรี!M497"")"),0.0)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IFERROR(__xludf.DUMMYFUNCTION("IMPORTRANGE(""https://docs.google.com/spreadsheets/d/1SX6NBoVAgQJ6U1MVXOaj8PK2l7WJ3RER9xtqwdhxkhw/edit?usp=sharing"",""ราชบุรี!M498"")"),0.0)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IFERROR(__xludf.DUMMYFUNCTION("IMPORTRANGE(""https://docs.google.com/spreadsheets/d/1SX6NBoVAgQJ6U1MVXOaj8PK2l7WJ3RER9xtqwdhxkhw/edit?usp=sharing"",""ราชบุรี!M499"")"),0.0)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IFERROR(__xludf.DUMMYFUNCTION("IMPORTRANGE(""https://docs.google.com/spreadsheets/d/1SX6NBoVAgQJ6U1MVXOaj8PK2l7WJ3RER9xtqwdhxkhw/edit?usp=sharing"",""ราชบุรี!M500"")"),300.0)</f>
        <v>300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IFERROR(__xludf.DUMMYFUNCTION("IMPORTRANGE(""https://docs.google.com/spreadsheets/d/1SX6NBoVAgQJ6U1MVXOaj8PK2l7WJ3RER9xtqwdhxkhw/edit?usp=sharing"",""ราชบุรี!J502"")"),0.0)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IFERROR(__xludf.DUMMYFUNCTION("IMPORTRANGE(""https://docs.google.com/spreadsheets/d/1SX6NBoVAgQJ6U1MVXOaj8PK2l7WJ3RER9xtqwdhxkhw/edit?usp=sharing"",""ราชบุรี!J503"")"),1.0)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IFERROR(__xludf.DUMMYFUNCTION("IMPORTRANGE(""https://docs.google.com/spreadsheets/d/1SX6NBoVAgQJ6U1MVXOaj8PK2l7WJ3RER9xtqwdhxkhw/edit?usp=sharing"",""ราชบุรี!J166"")"),0.0)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IFERROR(__xludf.DUMMYFUNCTION("IMPORTRANGE(""https://docs.google.com/spreadsheets/d/1SX6NBoVAgQJ6U1MVXOaj8PK2l7WJ3RER9xtqwdhxkhw/edit?usp=sharing"",""ราชบุรี!J166"")"),0.0)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IFERROR(__xludf.DUMMYFUNCTION("IMPORTRANGE(""https://docs.google.com/spreadsheets/d/1SX6NBoVAgQJ6U1MVXOaj8PK2l7WJ3RER9xtqwdhxkhw/edit?usp=sharing"",""ราชบุรี!I506"")"),50.0)</f>
        <v>50</v>
      </c>
      <c r="J611" s="195">
        <f>IFERROR(__xludf.DUMMYFUNCTION("IMPORTRANGE(""https://docs.google.com/spreadsheets/d/1SX6NBoVAgQJ6U1MVXOaj8PK2l7WJ3RER9xtqwdhxkhw/edit?usp=sharing"",""ราชบุรี!J506"")"),0.0)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IFERROR(__xludf.DUMMYFUNCTION("IMPORTRANGE(""https://docs.google.com/spreadsheets/d/1SX6NBoVAgQJ6U1MVXOaj8PK2l7WJ3RER9xtqwdhxkhw/edit?usp=sharing"",""ราชบุรี!I507"")"),0.0)</f>
        <v>0</v>
      </c>
      <c r="J612" s="232">
        <f>IFERROR(__xludf.DUMMYFUNCTION("IMPORTRANGE(""https://docs.google.com/spreadsheets/d/1SX6NBoVAgQJ6U1MVXOaj8PK2l7WJ3RER9xtqwdhxkhw/edit?usp=sharing"",""ราชบุรี!J507"")"),0.0)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IFERROR(__xludf.DUMMYFUNCTION("IMPORTRANGE(""https://docs.google.com/spreadsheets/d/1SX6NBoVAgQJ6U1MVXOaj8PK2l7WJ3RER9xtqwdhxkhw/edit?usp=sharing"",""ราชบุรี!I508"")"),0.0)</f>
        <v>0</v>
      </c>
      <c r="J613" s="232">
        <f>IFERROR(__xludf.DUMMYFUNCTION("IMPORTRANGE(""https://docs.google.com/spreadsheets/d/1SX6NBoVAgQJ6U1MVXOaj8PK2l7WJ3RER9xtqwdhxkhw/edit?usp=sharing"",""ราชบุรี!J508"")"),0.0)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IFERROR(__xludf.DUMMYFUNCTION("IMPORTRANGE(""https://docs.google.com/spreadsheets/d/1SX6NBoVAgQJ6U1MVXOaj8PK2l7WJ3RER9xtqwdhxkhw/edit?usp=sharing"",""ราชบุรี!I509"")"),0.0)</f>
        <v>0</v>
      </c>
      <c r="J614" s="232">
        <f>IFERROR(__xludf.DUMMYFUNCTION("IMPORTRANGE(""https://docs.google.com/spreadsheets/d/1SX6NBoVAgQJ6U1MVXOaj8PK2l7WJ3RER9xtqwdhxkhw/edit?usp=sharing"",""ราชบุรี!J509"")"),0.0)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IFERROR(__xludf.DUMMYFUNCTION("IMPORTRANGE(""https://docs.google.com/spreadsheets/d/1SX6NBoVAgQJ6U1MVXOaj8PK2l7WJ3RER9xtqwdhxkhw/edit?usp=sharing"",""ราชบุรี!I510"")"),0.0)</f>
        <v>0</v>
      </c>
      <c r="J615" s="232">
        <f>IFERROR(__xludf.DUMMYFUNCTION("IMPORTRANGE(""https://docs.google.com/spreadsheets/d/1SX6NBoVAgQJ6U1MVXOaj8PK2l7WJ3RER9xtqwdhxkhw/edit?usp=sharing"",""ราชบุรี!J510"")"),0.0)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IFERROR(__xludf.DUMMYFUNCTION("IMPORTRANGE(""https://docs.google.com/spreadsheets/d/1SX6NBoVAgQJ6U1MVXOaj8PK2l7WJ3RER9xtqwdhxkhw/edit?usp=sharing"",""ราชบุรี!I511"")"),0.0)</f>
        <v>0</v>
      </c>
      <c r="J616" s="232">
        <f>IFERROR(__xludf.DUMMYFUNCTION("IMPORTRANGE(""https://docs.google.com/spreadsheets/d/1SX6NBoVAgQJ6U1MVXOaj8PK2l7WJ3RER9xtqwdhxkhw/edit?usp=sharing"",""ราชบุรี!J511"")"),0.0)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IFERROR(__xludf.DUMMYFUNCTION("IMPORTRANGE(""https://docs.google.com/spreadsheets/d/1SX6NBoVAgQJ6U1MVXOaj8PK2l7WJ3RER9xtqwdhxkhw/edit?usp=sharing"",""ราชบุรี!I512"")"),0.0)</f>
        <v>0</v>
      </c>
      <c r="J617" s="222">
        <f>IFERROR(__xludf.DUMMYFUNCTION("IMPORTRANGE(""https://docs.google.com/spreadsheets/d/1SX6NBoVAgQJ6U1MVXOaj8PK2l7WJ3RER9xtqwdhxkhw/edit?usp=sharing"",""ราชบุรี!J512"")"),0.0)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IFERROR(__xludf.DUMMYFUNCTION("IMPORTRANGE(""https://docs.google.com/spreadsheets/d/1SX6NBoVAgQJ6U1MVXOaj8PK2l7WJ3RER9xtqwdhxkhw/edit?usp=sharing"",""ราชบุรี!I513"")"),0.0)</f>
        <v>0</v>
      </c>
      <c r="J618" s="223">
        <f>IFERROR(__xludf.DUMMYFUNCTION("IMPORTRANGE(""https://docs.google.com/spreadsheets/d/1SX6NBoVAgQJ6U1MVXOaj8PK2l7WJ3RER9xtqwdhxkhw/edit?usp=sharing"",""ราชบุรี!J513"")"),0.0)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IFERROR(__xludf.DUMMYFUNCTION("IMPORTRANGE(""https://docs.google.com/spreadsheets/d/1SX6NBoVAgQJ6U1MVXOaj8PK2l7WJ3RER9xtqwdhxkhw/edit?usp=sharing"",""ราชบุรี!I514"")"),0.0)</f>
        <v>0</v>
      </c>
      <c r="J619" s="223">
        <f>IFERROR(__xludf.DUMMYFUNCTION("IMPORTRANGE(""https://docs.google.com/spreadsheets/d/1SX6NBoVAgQJ6U1MVXOaj8PK2l7WJ3RER9xtqwdhxkhw/edit?usp=sharing"",""ราชบุรี!J514"")"),0.0)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IFERROR(__xludf.DUMMYFUNCTION("IMPORTRANGE(""https://docs.google.com/spreadsheets/d/1SX6NBoVAgQJ6U1MVXOaj8PK2l7WJ3RER9xtqwdhxkhw/edit?usp=sharing"",""ราชบุรี!I515"")"),0.0)</f>
        <v>0</v>
      </c>
      <c r="J620" s="237">
        <f>IFERROR(__xludf.DUMMYFUNCTION("IMPORTRANGE(""https://docs.google.com/spreadsheets/d/1SX6NBoVAgQJ6U1MVXOaj8PK2l7WJ3RER9xtqwdhxkhw/edit?usp=sharing"",""ราชบุรี!J515"")"),0.0)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IFERROR(__xludf.DUMMYFUNCTION("IMPORTRANGE(""https://docs.google.com/spreadsheets/d/1SX6NBoVAgQJ6U1MVXOaj8PK2l7WJ3RER9xtqwdhxkhw/edit?usp=sharing"",""ราชบุรี!I516"")"),0.0)</f>
        <v>0</v>
      </c>
      <c r="J621" s="237">
        <f>IFERROR(__xludf.DUMMYFUNCTION("IMPORTRANGE(""https://docs.google.com/spreadsheets/d/1SX6NBoVAgQJ6U1MVXOaj8PK2l7WJ3RER9xtqwdhxkhw/edit?usp=sharing"",""ราชบุรี!J516"")"),0.0)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IFERROR(__xludf.DUMMYFUNCTION("IMPORTRANGE(""https://docs.google.com/spreadsheets/d/1SX6NBoVAgQJ6U1MVXOaj8PK2l7WJ3RER9xtqwdhxkhw/edit?usp=sharing"",""ราชบุรี!I517"")"),0.0)</f>
        <v>0</v>
      </c>
      <c r="J622" s="223">
        <f>IFERROR(__xludf.DUMMYFUNCTION("IMPORTRANGE(""https://docs.google.com/spreadsheets/d/1SX6NBoVAgQJ6U1MVXOaj8PK2l7WJ3RER9xtqwdhxkhw/edit?usp=sharing"",""ราชบุรี!J517"")"),0.0)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IFERROR(__xludf.DUMMYFUNCTION("IMPORTRANGE(""https://docs.google.com/spreadsheets/d/1SX6NBoVAgQJ6U1MVXOaj8PK2l7WJ3RER9xtqwdhxkhw/edit?usp=sharing"",""ราชบุรี!I518"")"),0.0)</f>
        <v>0</v>
      </c>
      <c r="J623" s="223">
        <f>IFERROR(__xludf.DUMMYFUNCTION("IMPORTRANGE(""https://docs.google.com/spreadsheets/d/1SX6NBoVAgQJ6U1MVXOaj8PK2l7WJ3RER9xtqwdhxkhw/edit?usp=sharing"",""ราชบุรี!J518"")"),0.0)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IFERROR(__xludf.DUMMYFUNCTION("IMPORTRANGE(""https://docs.google.com/spreadsheets/d/1SX6NBoVAgQJ6U1MVXOaj8PK2l7WJ3RER9xtqwdhxkhw/edit?usp=sharing"",""ราชบุรี!I519"")"),0.0)</f>
        <v>0</v>
      </c>
      <c r="J624" s="222">
        <f>IFERROR(__xludf.DUMMYFUNCTION("IMPORTRANGE(""https://docs.google.com/spreadsheets/d/1SX6NBoVAgQJ6U1MVXOaj8PK2l7WJ3RER9xtqwdhxkhw/edit?usp=sharing"",""ราชบุรี!J519"")"),0.0)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IFERROR(__xludf.DUMMYFUNCTION("IMPORTRANGE(""https://docs.google.com/spreadsheets/d/1SX6NBoVAgQJ6U1MVXOaj8PK2l7WJ3RER9xtqwdhxkhw/edit?usp=sharing"",""ราชบุรี!I520"")"),0.0)</f>
        <v>0</v>
      </c>
      <c r="J625" s="223">
        <f>IFERROR(__xludf.DUMMYFUNCTION("IMPORTRANGE(""https://docs.google.com/spreadsheets/d/1SX6NBoVAgQJ6U1MVXOaj8PK2l7WJ3RER9xtqwdhxkhw/edit?usp=sharing"",""ราชบุรี!J520"")"),0.0)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IFERROR(__xludf.DUMMYFUNCTION("IMPORTRANGE(""https://docs.google.com/spreadsheets/d/1SX6NBoVAgQJ6U1MVXOaj8PK2l7WJ3RER9xtqwdhxkhw/edit?usp=sharing"",""ราชบุรี!I521"")"),0.0)</f>
        <v>0</v>
      </c>
      <c r="J626" s="223">
        <f>IFERROR(__xludf.DUMMYFUNCTION("IMPORTRANGE(""https://docs.google.com/spreadsheets/d/1SX6NBoVAgQJ6U1MVXOaj8PK2l7WJ3RER9xtqwdhxkhw/edit?usp=sharing"",""ราชบุรี!J521"")"),0.0)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IFERROR(__xludf.DUMMYFUNCTION("IMPORTRANGE(""https://docs.google.com/spreadsheets/d/1SX6NBoVAgQJ6U1MVXOaj8PK2l7WJ3RER9xtqwdhxkhw/edit?usp=sharing"",""ราชบุรี!I523"")"),1799548.1)</f>
        <v>1799548.1</v>
      </c>
      <c r="J628" s="374">
        <f>IFERROR(__xludf.DUMMYFUNCTION("IMPORTRANGE(""https://docs.google.com/spreadsheets/d/1SX6NBoVAgQJ6U1MVXOaj8PK2l7WJ3RER9xtqwdhxkhw/edit?usp=sharing"",""ราชบุรี!J523"")"),379212.3)</f>
        <v>379212.3</v>
      </c>
      <c r="K628" s="375">
        <f t="shared" ref="K628:K635" si="130">IF(I628&gt;0,J628*100/I628,0)</f>
        <v>21.0726404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IFERROR(__xludf.DUMMYFUNCTION("IMPORTRANGE(""https://docs.google.com/spreadsheets/d/1SX6NBoVAgQJ6U1MVXOaj8PK2l7WJ3RER9xtqwdhxkhw/edit?usp=sharing"",""ราชบุรี!I524"")"),117.0)</f>
        <v>117</v>
      </c>
      <c r="J629" s="374">
        <f>IFERROR(__xludf.DUMMYFUNCTION("IMPORTRANGE(""https://docs.google.com/spreadsheets/d/1SX6NBoVAgQJ6U1MVXOaj8PK2l7WJ3RER9xtqwdhxkhw/edit?usp=sharing"",""ราชบุรี!J524"")"),28.0)</f>
        <v>28</v>
      </c>
      <c r="K629" s="375">
        <f t="shared" si="130"/>
        <v>23.93162393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IFERROR(__xludf.DUMMYFUNCTION("IMPORTRANGE(""https://docs.google.com/spreadsheets/d/1SX6NBoVAgQJ6U1MVXOaj8PK2l7WJ3RER9xtqwdhxkhw/edit?usp=sharing"",""ราชบุรี!I525"")"),4148676.3)</f>
        <v>4148676.3</v>
      </c>
      <c r="J630" s="374">
        <f>IFERROR(__xludf.DUMMYFUNCTION("IMPORTRANGE(""https://docs.google.com/spreadsheets/d/1SX6NBoVAgQJ6U1MVXOaj8PK2l7WJ3RER9xtqwdhxkhw/edit?usp=sharing"",""ราชบุรี!J525"")"),315895.13)</f>
        <v>315895.13</v>
      </c>
      <c r="K630" s="375">
        <f t="shared" si="130"/>
        <v>7.614359549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IFERROR(__xludf.DUMMYFUNCTION("IMPORTRANGE(""https://docs.google.com/spreadsheets/d/1SX6NBoVAgQJ6U1MVXOaj8PK2l7WJ3RER9xtqwdhxkhw/edit?usp=sharing"",""ราชบุรี!I526"")"),203.0)</f>
        <v>203</v>
      </c>
      <c r="J631" s="374">
        <f>IFERROR(__xludf.DUMMYFUNCTION("IMPORTRANGE(""https://docs.google.com/spreadsheets/d/1SX6NBoVAgQJ6U1MVXOaj8PK2l7WJ3RER9xtqwdhxkhw/edit?usp=sharing"",""ราชบุรี!J526"")"),103.0)</f>
        <v>103</v>
      </c>
      <c r="K631" s="375">
        <f t="shared" si="130"/>
        <v>50.73891626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IFERROR(__xludf.DUMMYFUNCTION("IMPORTRANGE(""https://docs.google.com/spreadsheets/d/1SX6NBoVAgQJ6U1MVXOaj8PK2l7WJ3RER9xtqwdhxkhw/edit?usp=sharing"",""ราชบุรี!I527"")"),130782.22)</f>
        <v>130782.22</v>
      </c>
      <c r="J632" s="374">
        <f>IFERROR(__xludf.DUMMYFUNCTION("IMPORTRANGE(""https://docs.google.com/spreadsheets/d/1SX6NBoVAgQJ6U1MVXOaj8PK2l7WJ3RER9xtqwdhxkhw/edit?usp=sharing"",""ราชบุรี!J527"")"),49800.18)</f>
        <v>49800.18</v>
      </c>
      <c r="K632" s="375">
        <f t="shared" si="130"/>
        <v>38.07870825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IFERROR(__xludf.DUMMYFUNCTION("IMPORTRANGE(""https://docs.google.com/spreadsheets/d/1SX6NBoVAgQJ6U1MVXOaj8PK2l7WJ3RER9xtqwdhxkhw/edit?usp=sharing"",""ราชบุรี!I528"")"),15.0)</f>
        <v>15</v>
      </c>
      <c r="J633" s="374">
        <f>IFERROR(__xludf.DUMMYFUNCTION("IMPORTRANGE(""https://docs.google.com/spreadsheets/d/1SX6NBoVAgQJ6U1MVXOaj8PK2l7WJ3RER9xtqwdhxkhw/edit?usp=sharing"",""ราชบุรี!J528"")"),7.0)</f>
        <v>7</v>
      </c>
      <c r="K633" s="375">
        <f t="shared" si="130"/>
        <v>46.66666667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IFERROR(__xludf.DUMMYFUNCTION("IMPORTRANGE(""https://docs.google.com/spreadsheets/d/1SX6NBoVAgQJ6U1MVXOaj8PK2l7WJ3RER9xtqwdhxkhw/edit?usp=sharing"",""ราชบุรี!I529"")"),2000000.0)</f>
        <v>2000000</v>
      </c>
      <c r="J634" s="374">
        <f>IFERROR(__xludf.DUMMYFUNCTION("IMPORTRANGE(""https://docs.google.com/spreadsheets/d/1SX6NBoVAgQJ6U1MVXOaj8PK2l7WJ3RER9xtqwdhxkhw/edit?usp=sharing"",""ราชบุรี!J529"")"),120000.0)</f>
        <v>120000</v>
      </c>
      <c r="K634" s="375">
        <f t="shared" si="130"/>
        <v>6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IFERROR(__xludf.DUMMYFUNCTION("IMPORTRANGE(""https://docs.google.com/spreadsheets/d/1SX6NBoVAgQJ6U1MVXOaj8PK2l7WJ3RER9xtqwdhxkhw/edit?usp=sharing"",""ราชบุรี!I530"")"),76.0)</f>
        <v>76</v>
      </c>
      <c r="J635" s="544">
        <f>IFERROR(__xludf.DUMMYFUNCTION("IMPORTRANGE(""https://docs.google.com/spreadsheets/d/1SX6NBoVAgQJ6U1MVXOaj8PK2l7WJ3RER9xtqwdhxkhw/edit?usp=sharing"",""ราชบุรี!J530"")"),4.0)</f>
        <v>4</v>
      </c>
      <c r="K635" s="519">
        <f t="shared" si="130"/>
        <v>5.263157895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269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12175466</v>
      </c>
      <c r="M8" s="41">
        <f t="shared" si="1"/>
        <v>2487395</v>
      </c>
      <c r="N8" s="41">
        <f t="shared" si="1"/>
        <v>1896235</v>
      </c>
      <c r="O8" s="40">
        <f t="shared" ref="O8:O16" si="3">IF(L8&gt;0,N8*100/L8,0)</f>
        <v>15.57422936</v>
      </c>
      <c r="P8" s="40">
        <f t="shared" ref="P8:P16" si="4">IF(M8&gt;0,N8*100/M8,0)</f>
        <v>76.23377067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12175466</v>
      </c>
      <c r="M10" s="48">
        <f t="shared" si="5"/>
        <v>2487395</v>
      </c>
      <c r="N10" s="48">
        <f t="shared" si="5"/>
        <v>1896235</v>
      </c>
      <c r="O10" s="47">
        <f t="shared" si="3"/>
        <v>15.57422936</v>
      </c>
      <c r="P10" s="47">
        <f t="shared" si="4"/>
        <v>76.23377067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7175466</v>
      </c>
      <c r="M12" s="58">
        <f t="shared" si="7"/>
        <v>2487395</v>
      </c>
      <c r="N12" s="58">
        <f t="shared" si="7"/>
        <v>1896235</v>
      </c>
      <c r="O12" s="58">
        <f t="shared" si="3"/>
        <v>26.42664602</v>
      </c>
      <c r="P12" s="58">
        <f t="shared" si="4"/>
        <v>76.23377067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2348700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4826766</v>
      </c>
      <c r="M14" s="58">
        <f t="shared" si="9"/>
        <v>0</v>
      </c>
      <c r="N14" s="58">
        <f t="shared" si="9"/>
        <v>365308</v>
      </c>
      <c r="O14" s="61">
        <f t="shared" si="3"/>
        <v>7.568380154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5000000</v>
      </c>
      <c r="M16" s="58">
        <f t="shared" si="11"/>
        <v>0</v>
      </c>
      <c r="N16" s="58">
        <f t="shared" si="11"/>
        <v>0</v>
      </c>
      <c r="O16" s="70">
        <f t="shared" si="3"/>
        <v>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9625065</v>
      </c>
      <c r="M18" s="41">
        <f t="shared" si="12"/>
        <v>2487395</v>
      </c>
      <c r="N18" s="41">
        <f t="shared" si="12"/>
        <v>1530927</v>
      </c>
      <c r="O18" s="40">
        <f t="shared" ref="O18:O20" si="14">IF(L18&gt;0,N18*100/L18,0)</f>
        <v>15.90562765</v>
      </c>
      <c r="P18" s="40">
        <f t="shared" ref="P18:P26" si="15">IF(M18&gt;0,N18*100/M18,0)</f>
        <v>61.547402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9625065</v>
      </c>
      <c r="M20" s="48">
        <f t="shared" si="16"/>
        <v>2487395</v>
      </c>
      <c r="N20" s="48">
        <f t="shared" si="16"/>
        <v>1530927</v>
      </c>
      <c r="O20" s="47">
        <f t="shared" si="14"/>
        <v>15.90562765</v>
      </c>
      <c r="P20" s="47">
        <f t="shared" si="15"/>
        <v>61.547402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4625065</v>
      </c>
      <c r="M22" s="62">
        <f t="shared" si="18"/>
        <v>2487395</v>
      </c>
      <c r="N22" s="61">
        <f t="shared" si="18"/>
        <v>1530927</v>
      </c>
      <c r="O22" s="61">
        <f t="shared" si="19"/>
        <v>33.10065913</v>
      </c>
      <c r="P22" s="61">
        <f t="shared" si="15"/>
        <v>61.547402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2348700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2276365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5000000</v>
      </c>
      <c r="M26" s="70">
        <f t="shared" si="23"/>
        <v>0</v>
      </c>
      <c r="N26" s="70">
        <f t="shared" si="23"/>
        <v>0</v>
      </c>
      <c r="O26" s="70">
        <f t="shared" si="19"/>
        <v>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2550401</v>
      </c>
      <c r="M28" s="41">
        <f t="shared" si="24"/>
        <v>0</v>
      </c>
      <c r="N28" s="41">
        <f t="shared" si="24"/>
        <v>365308</v>
      </c>
      <c r="O28" s="40">
        <f t="shared" ref="O28:O30" si="26">IF(L28&gt;0,N28*100/L28,0)</f>
        <v>14.32355147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2550401</v>
      </c>
      <c r="M30" s="48">
        <f t="shared" si="28"/>
        <v>0</v>
      </c>
      <c r="N30" s="48">
        <f t="shared" si="28"/>
        <v>365308</v>
      </c>
      <c r="O30" s="47">
        <f t="shared" si="26"/>
        <v>14.32355147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2550401</v>
      </c>
      <c r="M32" s="61">
        <f t="shared" si="30"/>
        <v>0</v>
      </c>
      <c r="N32" s="61">
        <f t="shared" si="30"/>
        <v>365308</v>
      </c>
      <c r="O32" s="61">
        <f t="shared" si="31"/>
        <v>14.32355147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2550401</v>
      </c>
      <c r="M34" s="61">
        <f t="shared" si="33"/>
        <v>0</v>
      </c>
      <c r="N34" s="61">
        <f t="shared" si="33"/>
        <v>365308</v>
      </c>
      <c r="O34" s="61">
        <f t="shared" si="31"/>
        <v>14.32355147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9625065</v>
      </c>
      <c r="M37" s="75">
        <f t="shared" si="34"/>
        <v>2487395</v>
      </c>
      <c r="N37" s="75">
        <f t="shared" si="34"/>
        <v>1530927</v>
      </c>
      <c r="O37" s="76">
        <f t="shared" si="31"/>
        <v>15.90562765</v>
      </c>
      <c r="P37" s="76">
        <f t="shared" si="27"/>
        <v>61.547402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804100</v>
      </c>
      <c r="M41" s="102">
        <f t="shared" si="35"/>
        <v>402100</v>
      </c>
      <c r="N41" s="102">
        <f t="shared" si="35"/>
        <v>311604</v>
      </c>
      <c r="O41" s="101">
        <f t="shared" ref="O41:O43" si="37">IF(L41&gt;0,N41*100/L41,0)</f>
        <v>38.75189653</v>
      </c>
      <c r="P41" s="101">
        <f t="shared" ref="P41:P43" si="38">IF(M41&gt;0,N41*100/M41,0)</f>
        <v>77.49415568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804100</v>
      </c>
      <c r="M43" s="102">
        <f t="shared" si="39"/>
        <v>402100</v>
      </c>
      <c r="N43" s="102">
        <f t="shared" si="39"/>
        <v>311604</v>
      </c>
      <c r="O43" s="101">
        <f t="shared" si="37"/>
        <v>38.75189653</v>
      </c>
      <c r="P43" s="101">
        <f t="shared" si="38"/>
        <v>77.49415568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804100</v>
      </c>
      <c r="M45" s="115">
        <f>IFERROR(__xludf.DUMMYFUNCTION("IMPORTRANGE(""https://docs.google.com/spreadsheets/d/1Yj_ptqi66GCucihVvJfMjLAmec39IyEx_6qawtMGysU/edit?usp=sharing"",""สบก!Q74"")"),402100.0)</f>
        <v>402100</v>
      </c>
      <c r="N45" s="115">
        <f>IFERROR(__xludf.DUMMYFUNCTION("IMPORTRANGE(""https://docs.google.com/spreadsheets/d/1Yj_ptqi66GCucihVvJfMjLAmec39IyEx_6qawtMGysU/edit?usp=sharing"",""สบก!R74"")"),311604.0)</f>
        <v>311604</v>
      </c>
      <c r="O45" s="116">
        <f>IF(L45&gt;0,N45*100/L45,0)</f>
        <v>38.75189653</v>
      </c>
      <c r="P45" s="116">
        <f>IF(M45&gt;0,N45*100/M45,0)</f>
        <v>77.49415568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IFERROR(__xludf.DUMMYFUNCTION("IMPORTRANGE(""https://docs.google.com/spreadsheets/d/1Yj_ptqi66GCucihVvJfMjLAmec39IyEx_6qawtMGysU/edit?usp=sharing"",""สบก!M74"")"),804100.0)</f>
        <v>804100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IFERROR(__xludf.DUMMYFUNCTION("IMPORTRANGE(""https://docs.google.com/spreadsheets/d/1Yj_ptqi66GCucihVvJfMjLAmec39IyEx_6qawtMGysU/edit?usp=sharing"",""สบก!N74"")"),0.0)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IFERROR(__xludf.DUMMYFUNCTION("IMPORTRANGE(""https://docs.google.com/spreadsheets/d/1Yj_ptqi66GCucihVvJfMjLAmec39IyEx_6qawtMGysU/edit?usp=sharing"",""สบก!O74"")"),0.0)</f>
        <v>0</v>
      </c>
      <c r="M49" s="125"/>
      <c r="N49" s="115">
        <f>IFERROR(__xludf.DUMMYFUNCTION("IMPORTRANGE(""https://docs.google.com/spreadsheets/d/1Yj_ptqi66GCucihVvJfMjLAmec39IyEx_6qawtMGysU/edit?usp=sharing"",""สบก!S74"")"),0.0)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605000</v>
      </c>
      <c r="M53" s="151">
        <f t="shared" si="40"/>
        <v>311500</v>
      </c>
      <c r="N53" s="151">
        <f t="shared" si="40"/>
        <v>216832</v>
      </c>
      <c r="O53" s="150">
        <f t="shared" ref="O53:O55" si="42">IF(L53&gt;0,N53*100/L53,0)</f>
        <v>35.84</v>
      </c>
      <c r="P53" s="150">
        <f t="shared" ref="P53:P55" si="43">IF(M53&gt;0,N53*100/M53,0)</f>
        <v>69.60898876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605000</v>
      </c>
      <c r="M55" s="151">
        <f t="shared" si="44"/>
        <v>311500</v>
      </c>
      <c r="N55" s="151">
        <f t="shared" si="44"/>
        <v>216832</v>
      </c>
      <c r="O55" s="150">
        <f t="shared" si="42"/>
        <v>35.84</v>
      </c>
      <c r="P55" s="150">
        <f t="shared" si="43"/>
        <v>69.60898876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605000</v>
      </c>
      <c r="M57" s="115">
        <f>IFERROR(__xludf.DUMMYFUNCTION("IMPORTRANGE(""https://docs.google.com/spreadsheets/d/1Yj_ptqi66GCucihVvJfMjLAmec39IyEx_6qawtMGysU/edit?usp=sharing"",""สบก!Z74"")"),311500.0)</f>
        <v>311500</v>
      </c>
      <c r="N57" s="115">
        <f>IFERROR(__xludf.DUMMYFUNCTION("IMPORTRANGE(""https://docs.google.com/spreadsheets/d/1Yj_ptqi66GCucihVvJfMjLAmec39IyEx_6qawtMGysU/edit?usp=sharing"",""สบก!AA74"")"),216832.0)</f>
        <v>216832</v>
      </c>
      <c r="O57" s="116">
        <f>IF(L57&gt;0,N57*100/L57,0)</f>
        <v>35.84</v>
      </c>
      <c r="P57" s="116">
        <f>IF(M57&gt;0,N57*100/M57,0)</f>
        <v>69.60898876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IFERROR(__xludf.DUMMYFUNCTION("IMPORTRANGE(""https://docs.google.com/spreadsheets/d/1Yj_ptqi66GCucihVvJfMjLAmec39IyEx_6qawtMGysU/edit?usp=sharing"",""สบก!V74"")"),605000.0)</f>
        <v>605000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IFERROR(__xludf.DUMMYFUNCTION("IMPORTRANGE(""https://docs.google.com/spreadsheets/d/1Yj_ptqi66GCucihVvJfMjLAmec39IyEx_6qawtMGysU/edit?usp=sharing"",""สบก!W74"")"),0.0)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IFERROR(__xludf.DUMMYFUNCTION("IMPORTRANGE(""https://docs.google.com/spreadsheets/d/1Yj_ptqi66GCucihVvJfMjLAmec39IyEx_6qawtMGysU/edit?usp=sharing"",""สบก!X74"")"),0.0)</f>
        <v>0</v>
      </c>
      <c r="M61" s="125"/>
      <c r="N61" s="115">
        <f>IFERROR(__xludf.DUMMYFUNCTION("IMPORTRANGE(""https://docs.google.com/spreadsheets/d/1Yj_ptqi66GCucihVvJfMjLAmec39IyEx_6qawtMGysU/edit?usp=sharing"",""สบก!AB74"")"),0.0)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IFERROR(__xludf.DUMMYFUNCTION("IMPORTRANGE(""https://docs.google.com/spreadsheets/d/1SX6NBoVAgQJ6U1MVXOaj8PK2l7WJ3RER9xtqwdhxkhw/edit?usp=sharing"",""ลพบุรี!I9"")"),2.0)</f>
        <v>2</v>
      </c>
      <c r="J64" s="172">
        <f>IFERROR(__xludf.DUMMYFUNCTION("IMPORTRANGE(""https://docs.google.com/spreadsheets/d/1SX6NBoVAgQJ6U1MVXOaj8PK2l7WJ3RER9xtqwdhxkhw/edit?usp=sharing"",""ลพบุรี!J9"")"),2.0)</f>
        <v>2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IFERROR(__xludf.DUMMYFUNCTION("IMPORTRANGE(""https://docs.google.com/spreadsheets/d/1SX6NBoVAgQJ6U1MVXOaj8PK2l7WJ3RER9xtqwdhxkhw/edit?usp=sharing"",""ลพบุรี!I10"")"),180.0)</f>
        <v>180</v>
      </c>
      <c r="J65" s="172">
        <f>IFERROR(__xludf.DUMMYFUNCTION("IMPORTRANGE(""https://docs.google.com/spreadsheets/d/1SX6NBoVAgQJ6U1MVXOaj8PK2l7WJ3RER9xtqwdhxkhw/edit?usp=sharing"",""ลพบุรี!J10"")"),180.0)</f>
        <v>180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6817200</v>
      </c>
      <c r="M66" s="183">
        <f t="shared" si="46"/>
        <v>981100</v>
      </c>
      <c r="N66" s="183">
        <f t="shared" si="46"/>
        <v>734926</v>
      </c>
      <c r="O66" s="182">
        <f t="shared" ref="O66:O68" si="48">IF(L66&gt;0,N66*100/L66,0)</f>
        <v>10.78046705</v>
      </c>
      <c r="P66" s="182">
        <f t="shared" ref="P66:P68" si="49">IF(M66&gt;0,N66*100/M66,0)</f>
        <v>74.90836816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6817200</v>
      </c>
      <c r="M68" s="188">
        <f t="shared" si="50"/>
        <v>981100</v>
      </c>
      <c r="N68" s="188">
        <f t="shared" si="50"/>
        <v>734926</v>
      </c>
      <c r="O68" s="187">
        <f t="shared" si="48"/>
        <v>10.78046705</v>
      </c>
      <c r="P68" s="187">
        <f t="shared" si="49"/>
        <v>74.90836816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1817200</v>
      </c>
      <c r="M70" s="201">
        <f>IFERROR(__xludf.DUMMYFUNCTION("IMPORTRANGE(""https://docs.google.com/spreadsheets/d/1Yj_ptqi66GCucihVvJfMjLAmec39IyEx_6qawtMGysU/edit?usp=sharing"",""สบก!AI74"")"),981100.0)</f>
        <v>981100</v>
      </c>
      <c r="N70" s="202">
        <f>IFERROR(__xludf.DUMMYFUNCTION("IMPORTRANGE(""https://docs.google.com/spreadsheets/d/1Yj_ptqi66GCucihVvJfMjLAmec39IyEx_6qawtMGysU/edit?usp=sharing"",""สบก!AJ74"")"),734926.0)</f>
        <v>734926</v>
      </c>
      <c r="O70" s="203">
        <f>IF(L70&gt;0,N70*100/L70,0)</f>
        <v>40.4427691</v>
      </c>
      <c r="P70" s="203">
        <f>IF(M70&gt;0,N70*100/M70,0)</f>
        <v>74.90836816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IFERROR(__xludf.DUMMYFUNCTION("IMPORTRANGE(""https://docs.google.com/spreadsheets/d/1Yj_ptqi66GCucihVvJfMjLAmec39IyEx_6qawtMGysU/edit?usp=sharing"",""สบก!AE74"")"),439200.0)</f>
        <v>439200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IFERROR(__xludf.DUMMYFUNCTION("IMPORTRANGE(""https://docs.google.com/spreadsheets/d/1Yj_ptqi66GCucihVvJfMjLAmec39IyEx_6qawtMGysU/edit?usp=sharing"",""สบก!AF74"")"),1378000.0)</f>
        <v>1378000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IFERROR(__xludf.DUMMYFUNCTION("IMPORTRANGE(""https://docs.google.com/spreadsheets/d/1Yj_ptqi66GCucihVvJfMjLAmec39IyEx_6qawtMGysU/edit?usp=sharing"",""สบก!AG74"")"),5000000.0)</f>
        <v>5000000</v>
      </c>
      <c r="M74" s="125"/>
      <c r="N74" s="115">
        <f>IFERROR(__xludf.DUMMYFUNCTION("IMPORTRANGE(""https://docs.google.com/spreadsheets/d/1Yj_ptqi66GCucihVvJfMjLAmec39IyEx_6qawtMGysU/edit?usp=sharing"",""สบก!AK74"")"),0.0)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IFERROR(__xludf.DUMMYFUNCTION("IMPORTRANGE(""https://docs.google.com/spreadsheets/d/1SX6NBoVAgQJ6U1MVXOaj8PK2l7WJ3RER9xtqwdhxkhw/edit?usp=sharing"",""ลพบุรี!J16"")"),0.0)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IFERROR(__xludf.DUMMYFUNCTION("IMPORTRANGE(""https://docs.google.com/spreadsheets/d/1SX6NBoVAgQJ6U1MVXOaj8PK2l7WJ3RER9xtqwdhxkhw/edit?usp=sharing"",""ลพบุรี!J17"")"),1.0)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IFERROR(__xludf.DUMMYFUNCTION("IMPORTRANGE(""https://docs.google.com/spreadsheets/d/1SX6NBoVAgQJ6U1MVXOaj8PK2l7WJ3RER9xtqwdhxkhw/edit?usp=sharing"",""ลพบุรี!J18"")"),1.0)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IFERROR(__xludf.DUMMYFUNCTION("IMPORTRANGE(""https://docs.google.com/spreadsheets/d/1SX6NBoVAgQJ6U1MVXOaj8PK2l7WJ3RER9xtqwdhxkhw/edit?usp=sharing"",""ลพบุรี!J19"")"),1.0)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IFERROR(__xludf.DUMMYFUNCTION("IMPORTRANGE(""https://docs.google.com/spreadsheets/d/1SX6NBoVAgQJ6U1MVXOaj8PK2l7WJ3RER9xtqwdhxkhw/edit?usp=sharing"",""ลพบุรี!I20"")"),2.0)</f>
        <v>2</v>
      </c>
      <c r="J80" s="235">
        <f>IFERROR(__xludf.DUMMYFUNCTION("IMPORTRANGE(""https://docs.google.com/spreadsheets/d/1SX6NBoVAgQJ6U1MVXOaj8PK2l7WJ3RER9xtqwdhxkhw/edit?usp=sharing"",""ลพบุรี!J20"")"),2.0)</f>
        <v>2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IFERROR(__xludf.DUMMYFUNCTION("IMPORTRANGE(""https://docs.google.com/spreadsheets/d/1SX6NBoVAgQJ6U1MVXOaj8PK2l7WJ3RER9xtqwdhxkhw/edit?usp=sharing"",""ลพบุรี!I21"")"),180.0)</f>
        <v>180</v>
      </c>
      <c r="J81" s="235">
        <f>IFERROR(__xludf.DUMMYFUNCTION("IMPORTRANGE(""https://docs.google.com/spreadsheets/d/1SX6NBoVAgQJ6U1MVXOaj8PK2l7WJ3RER9xtqwdhxkhw/edit?usp=sharing"",""ลพบุรี!J21"")"),180.0)</f>
        <v>180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IFERROR(__xludf.DUMMYFUNCTION("IMPORTRANGE(""https://docs.google.com/spreadsheets/d/1SX6NBoVAgQJ6U1MVXOaj8PK2l7WJ3RER9xtqwdhxkhw/edit?usp=sharing"",""ลพบุรี!I22"")"),1.0)</f>
        <v>1</v>
      </c>
      <c r="J82" s="238">
        <f>IFERROR(__xludf.DUMMYFUNCTION("IMPORTRANGE(""https://docs.google.com/spreadsheets/d/1SX6NBoVAgQJ6U1MVXOaj8PK2l7WJ3RER9xtqwdhxkhw/edit?usp=sharing"",""ลพบุรี!J22"")"),1.0)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IFERROR(__xludf.DUMMYFUNCTION("IMPORTRANGE(""https://docs.google.com/spreadsheets/d/1SX6NBoVAgQJ6U1MVXOaj8PK2l7WJ3RER9xtqwdhxkhw/edit?usp=sharing"",""ลพบุรี!I23"")"),80.0)</f>
        <v>80</v>
      </c>
      <c r="J83" s="238">
        <f>IFERROR(__xludf.DUMMYFUNCTION("IMPORTRANGE(""https://docs.google.com/spreadsheets/d/1SX6NBoVAgQJ6U1MVXOaj8PK2l7WJ3RER9xtqwdhxkhw/edit?usp=sharing"",""ลพบุรี!J23"")"),80.0)</f>
        <v>80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IFERROR(__xludf.DUMMYFUNCTION("IMPORTRANGE(""https://docs.google.com/spreadsheets/d/1SX6NBoVAgQJ6U1MVXOaj8PK2l7WJ3RER9xtqwdhxkhw/edit?usp=sharing"",""ลพบุรี!I24"")"),1.0)</f>
        <v>1</v>
      </c>
      <c r="J84" s="223">
        <f>IFERROR(__xludf.DUMMYFUNCTION("IMPORTRANGE(""https://docs.google.com/spreadsheets/d/1SX6NBoVAgQJ6U1MVXOaj8PK2l7WJ3RER9xtqwdhxkhw/edit?usp=sharing"",""ลพบุรี!J24"")"),1.0)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IFERROR(__xludf.DUMMYFUNCTION("IMPORTRANGE(""https://docs.google.com/spreadsheets/d/1SX6NBoVAgQJ6U1MVXOaj8PK2l7WJ3RER9xtqwdhxkhw/edit?usp=sharing"",""ลพบุรี!I25"")"),100.0)</f>
        <v>100</v>
      </c>
      <c r="J85" s="223">
        <f>IFERROR(__xludf.DUMMYFUNCTION("IMPORTRANGE(""https://docs.google.com/spreadsheets/d/1SX6NBoVAgQJ6U1MVXOaj8PK2l7WJ3RER9xtqwdhxkhw/edit?usp=sharing"",""ลพบุรี!J25"")"),100.0)</f>
        <v>100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IFERROR(__xludf.DUMMYFUNCTION("IMPORTRANGE(""https://docs.google.com/spreadsheets/d/1SX6NBoVAgQJ6U1MVXOaj8PK2l7WJ3RER9xtqwdhxkhw/edit?usp=sharing"",""ลพบุรี!I26"")"),0.0)</f>
        <v>0</v>
      </c>
      <c r="J86" s="238">
        <f>IFERROR(__xludf.DUMMYFUNCTION("IMPORTRANGE(""https://docs.google.com/spreadsheets/d/1SX6NBoVAgQJ6U1MVXOaj8PK2l7WJ3RER9xtqwdhxkhw/edit?usp=sharing"",""ลพบุรี!J26"")"),0.0)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IFERROR(__xludf.DUMMYFUNCTION("IMPORTRANGE(""https://docs.google.com/spreadsheets/d/1SX6NBoVAgQJ6U1MVXOaj8PK2l7WJ3RER9xtqwdhxkhw/edit?usp=sharing"",""ลพบุรี!I27"")"),0.0)</f>
        <v>0</v>
      </c>
      <c r="J87" s="238">
        <f>IFERROR(__xludf.DUMMYFUNCTION("IMPORTRANGE(""https://docs.google.com/spreadsheets/d/1SX6NBoVAgQJ6U1MVXOaj8PK2l7WJ3RER9xtqwdhxkhw/edit?usp=sharing"",""ลพบุรี!J27"")"),0.0)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IFERROR(__xludf.DUMMYFUNCTION("IMPORTRANGE(""https://docs.google.com/spreadsheets/d/1SX6NBoVAgQJ6U1MVXOaj8PK2l7WJ3RER9xtqwdhxkhw/edit?usp=sharing"",""ลพบุรี!I28"")"),80.0)</f>
        <v>80</v>
      </c>
      <c r="J88" s="238">
        <f>IFERROR(__xludf.DUMMYFUNCTION("IMPORTRANGE(""https://docs.google.com/spreadsheets/d/1SX6NBoVAgQJ6U1MVXOaj8PK2l7WJ3RER9xtqwdhxkhw/edit?usp=sharing"",""ลพบุรี!J28"")"),0.0)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IFERROR(__xludf.DUMMYFUNCTION("IMPORTRANGE(""https://docs.google.com/spreadsheets/d/1SX6NBoVAgQJ6U1MVXOaj8PK2l7WJ3RER9xtqwdhxkhw/edit?usp=sharing"",""ลพบุรี!J29"")"),0.0)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IFERROR(__xludf.DUMMYFUNCTION("IMPORTRANGE(""https://docs.google.com/spreadsheets/d/1SX6NBoVAgQJ6U1MVXOaj8PK2l7WJ3RER9xtqwdhxkhw/edit?usp=sharing"",""ลพบุรี!J30"")"),0.0)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IFERROR(__xludf.DUMMYFUNCTION("IMPORTRANGE(""https://docs.google.com/spreadsheets/d/1SX6NBoVAgQJ6U1MVXOaj8PK2l7WJ3RER9xtqwdhxkhw/edit?usp=sharing"",""ลพบุรี!I32"")"),0.0)</f>
        <v>0</v>
      </c>
      <c r="J92" s="172">
        <f>IFERROR(__xludf.DUMMYFUNCTION("IMPORTRANGE(""https://docs.google.com/spreadsheets/d/1SX6NBoVAgQJ6U1MVXOaj8PK2l7WJ3RER9xtqwdhxkhw/edit?usp=sharing"",""ลพบุรี!J32"")"),0.0)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IFERROR(__xludf.DUMMYFUNCTION("IMPORTRANGE(""https://docs.google.com/spreadsheets/d/1SX6NBoVAgQJ6U1MVXOaj8PK2l7WJ3RER9xtqwdhxkhw/edit?usp=sharing"",""ลพบุรี!I33"")"),0.0)</f>
        <v>0</v>
      </c>
      <c r="J93" s="172">
        <f>IFERROR(__xludf.DUMMYFUNCTION("IMPORTRANGE(""https://docs.google.com/spreadsheets/d/1SX6NBoVAgQJ6U1MVXOaj8PK2l7WJ3RER9xtqwdhxkhw/edit?usp=sharing"",""ลพบุรี!J33"")"),0.0)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IFERROR(__xludf.DUMMYFUNCTION("IMPORTRANGE(""https://docs.google.com/spreadsheets/d/1Yj_ptqi66GCucihVvJfMjLAmec39IyEx_6qawtMGysU/edit?usp=sharing"",""สบก!AR74"")"),0.0)</f>
        <v>0</v>
      </c>
      <c r="N98" s="202">
        <f>IFERROR(__xludf.DUMMYFUNCTION("IMPORTRANGE(""https://docs.google.com/spreadsheets/d/1Yj_ptqi66GCucihVvJfMjLAmec39IyEx_6qawtMGysU/edit?usp=sharing"",""สบก!AS74"")"),0.0)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IFERROR(__xludf.DUMMYFUNCTION("IMPORTRANGE(""https://docs.google.com/spreadsheets/d/1Yj_ptqi66GCucihVvJfMjLAmec39IyEx_6qawtMGysU/edit?usp=sharing"",""สบก!AN74"")"),0.0)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IFERROR(__xludf.DUMMYFUNCTION("IMPORTRANGE(""https://docs.google.com/spreadsheets/d/1Yj_ptqi66GCucihVvJfMjLAmec39IyEx_6qawtMGysU/edit?usp=sharing"",""สบก!AO74"")"),0.0)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IFERROR(__xludf.DUMMYFUNCTION("IMPORTRANGE(""https://docs.google.com/spreadsheets/d/1Yj_ptqi66GCucihVvJfMjLAmec39IyEx_6qawtMGysU/edit?usp=sharing"",""สบก!AP74"")"),0.0)</f>
        <v>0</v>
      </c>
      <c r="M102" s="125"/>
      <c r="N102" s="115">
        <f>IFERROR(__xludf.DUMMYFUNCTION("IMPORTRANGE(""https://docs.google.com/spreadsheets/d/1Yj_ptqi66GCucihVvJfMjLAmec39IyEx_6qawtMGysU/edit?usp=sharing"",""สบก!AT74"")"),0.0)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IFERROR(__xludf.DUMMYFUNCTION("IMPORTRANGE(""https://docs.google.com/spreadsheets/d/1SX6NBoVAgQJ6U1MVXOaj8PK2l7WJ3RER9xtqwdhxkhw/edit?usp=sharing"",""ลพบุรี!J39"")"),0.0)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IFERROR(__xludf.DUMMYFUNCTION("IMPORTRANGE(""https://docs.google.com/spreadsheets/d/1SX6NBoVAgQJ6U1MVXOaj8PK2l7WJ3RER9xtqwdhxkhw/edit?usp=sharing"",""ลพบุรี!J40"")"),0.0)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IFERROR(__xludf.DUMMYFUNCTION("IMPORTRANGE(""https://docs.google.com/spreadsheets/d/1SX6NBoVAgQJ6U1MVXOaj8PK2l7WJ3RER9xtqwdhxkhw/edit?usp=sharing"",""ลพบุรี!J41"")"),0.0)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IFERROR(__xludf.DUMMYFUNCTION("IMPORTRANGE(""https://docs.google.com/spreadsheets/d/1SX6NBoVAgQJ6U1MVXOaj8PK2l7WJ3RER9xtqwdhxkhw/edit?usp=sharing"",""ลพบุรี!J42"")"),0.0)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IFERROR(__xludf.DUMMYFUNCTION("IMPORTRANGE(""https://docs.google.com/spreadsheets/d/1SX6NBoVAgQJ6U1MVXOaj8PK2l7WJ3RER9xtqwdhxkhw/edit?usp=sharing"",""ลพบุรี!I43"")"),0.0)</f>
        <v>0</v>
      </c>
      <c r="J108" s="238">
        <f>IFERROR(__xludf.DUMMYFUNCTION("IMPORTRANGE(""https://docs.google.com/spreadsheets/d/1SX6NBoVAgQJ6U1MVXOaj8PK2l7WJ3RER9xtqwdhxkhw/edit?usp=sharing"",""ลพบุรี!J43"")"),0.0)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IFERROR(__xludf.DUMMYFUNCTION("IMPORTRANGE(""https://docs.google.com/spreadsheets/d/1SX6NBoVAgQJ6U1MVXOaj8PK2l7WJ3RER9xtqwdhxkhw/edit?usp=sharing"",""ลพบุรี!I44"")"),0.0)</f>
        <v>0</v>
      </c>
      <c r="J109" s="238">
        <f>IFERROR(__xludf.DUMMYFUNCTION("IMPORTRANGE(""https://docs.google.com/spreadsheets/d/1SX6NBoVAgQJ6U1MVXOaj8PK2l7WJ3RER9xtqwdhxkhw/edit?usp=sharing"",""ลพบุรี!J44"")"),0.0)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IFERROR(__xludf.DUMMYFUNCTION("IMPORTRANGE(""https://docs.google.com/spreadsheets/d/1SX6NBoVAgQJ6U1MVXOaj8PK2l7WJ3RER9xtqwdhxkhw/edit?usp=sharing"",""ลพบุรี!I45"")"),0.0)</f>
        <v>0</v>
      </c>
      <c r="J110" s="238">
        <f>IFERROR(__xludf.DUMMYFUNCTION("IMPORTRANGE(""https://docs.google.com/spreadsheets/d/1SX6NBoVAgQJ6U1MVXOaj8PK2l7WJ3RER9xtqwdhxkhw/edit?usp=sharing"",""ลพบุรี!J45"")"),0.0)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IFERROR(__xludf.DUMMYFUNCTION("IMPORTRANGE(""https://docs.google.com/spreadsheets/d/1SX6NBoVAgQJ6U1MVXOaj8PK2l7WJ3RER9xtqwdhxkhw/edit?usp=sharing"",""ลพบุรี!I46"")"),0.0)</f>
        <v>0</v>
      </c>
      <c r="J111" s="238">
        <f>IFERROR(__xludf.DUMMYFUNCTION("IMPORTRANGE(""https://docs.google.com/spreadsheets/d/1SX6NBoVAgQJ6U1MVXOaj8PK2l7WJ3RER9xtqwdhxkhw/edit?usp=sharing"",""ลพบุรี!J46"")"),0.0)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IFERROR(__xludf.DUMMYFUNCTION("IMPORTRANGE(""https://docs.google.com/spreadsheets/d/1SX6NBoVAgQJ6U1MVXOaj8PK2l7WJ3RER9xtqwdhxkhw/edit?usp=sharing"",""ลพบุรี!I47"")"),0.0)</f>
        <v>0</v>
      </c>
      <c r="J112" s="238">
        <f>IFERROR(__xludf.DUMMYFUNCTION("IMPORTRANGE(""https://docs.google.com/spreadsheets/d/1SX6NBoVAgQJ6U1MVXOaj8PK2l7WJ3RER9xtqwdhxkhw/edit?usp=sharing"",""ลพบุรี!J47"")"),0.0)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IFERROR(__xludf.DUMMYFUNCTION("IMPORTRANGE(""https://docs.google.com/spreadsheets/d/1SX6NBoVAgQJ6U1MVXOaj8PK2l7WJ3RER9xtqwdhxkhw/edit?usp=sharing"",""ลพบุรี!I48"")"),0.0)</f>
        <v>0</v>
      </c>
      <c r="J113" s="238">
        <f>IFERROR(__xludf.DUMMYFUNCTION("IMPORTRANGE(""https://docs.google.com/spreadsheets/d/1SX6NBoVAgQJ6U1MVXOaj8PK2l7WJ3RER9xtqwdhxkhw/edit?usp=sharing"",""ลพบุรี!J48"")"),0.0)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IFERROR(__xludf.DUMMYFUNCTION("IMPORTRANGE(""https://docs.google.com/spreadsheets/d/1SX6NBoVAgQJ6U1MVXOaj8PK2l7WJ3RER9xtqwdhxkhw/edit?usp=sharing"",""ลพบุรี!J49"")"),0.0)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IFERROR(__xludf.DUMMYFUNCTION("IMPORTRANGE(""https://docs.google.com/spreadsheets/d/1SX6NBoVAgQJ6U1MVXOaj8PK2l7WJ3RER9xtqwdhxkhw/edit?usp=sharing"",""ลพบุรี!J50"")"),0.0)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IFERROR(__xludf.DUMMYFUNCTION("IMPORTRANGE(""https://docs.google.com/spreadsheets/d/1SX6NBoVAgQJ6U1MVXOaj8PK2l7WJ3RER9xtqwdhxkhw/edit?usp=sharing"",""ลพบุรี!I52"")"),15.0)</f>
        <v>15</v>
      </c>
      <c r="J117" s="172">
        <f>IFERROR(__xludf.DUMMYFUNCTION("IMPORTRANGE(""https://docs.google.com/spreadsheets/d/1SX6NBoVAgQJ6U1MVXOaj8PK2l7WJ3RER9xtqwdhxkhw/edit?usp=sharing"",""ลพบุรี!J52"")"),0.0)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1240</v>
      </c>
      <c r="O118" s="182">
        <f t="shared" ref="O118:O120" si="61">IF(L118&gt;0,N118*100/L118,0)</f>
        <v>1.910926183</v>
      </c>
      <c r="P118" s="182">
        <f t="shared" ref="P118:P120" si="62">IF(M118&gt;0,N118*100/M118,0)</f>
        <v>2.344488561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1240</v>
      </c>
      <c r="O120" s="187">
        <f t="shared" si="61"/>
        <v>1.910926183</v>
      </c>
      <c r="P120" s="187">
        <f t="shared" si="62"/>
        <v>2.344488561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IFERROR(__xludf.DUMMYFUNCTION("IMPORTRANGE(""https://docs.google.com/spreadsheets/d/1Yj_ptqi66GCucihVvJfMjLAmec39IyEx_6qawtMGysU/edit?usp=sharing"",""สบก!BA74"")"),52890.0)</f>
        <v>52890</v>
      </c>
      <c r="N122" s="202">
        <f>IFERROR(__xludf.DUMMYFUNCTION("IMPORTRANGE(""https://docs.google.com/spreadsheets/d/1Yj_ptqi66GCucihVvJfMjLAmec39IyEx_6qawtMGysU/edit?usp=sharing"",""สบก!BB74"")"),1240.0)</f>
        <v>1240</v>
      </c>
      <c r="O122" s="203">
        <f>IF(L122&gt;0,N122*100/L122,0)</f>
        <v>1.910926183</v>
      </c>
      <c r="P122" s="203">
        <f>IF(M122&gt;0,N122*100/M122,0)</f>
        <v>2.344488561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IFERROR(__xludf.DUMMYFUNCTION("IMPORTRANGE(""https://docs.google.com/spreadsheets/d/1Yj_ptqi66GCucihVvJfMjLAmec39IyEx_6qawtMGysU/edit?usp=sharing"",""สบก!AW74"")"),0.0)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IFERROR(__xludf.DUMMYFUNCTION("IMPORTRANGE(""https://docs.google.com/spreadsheets/d/1Yj_ptqi66GCucihVvJfMjLAmec39IyEx_6qawtMGysU/edit?usp=sharing"",""สบก!AX74"")"),64890.0)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IFERROR(__xludf.DUMMYFUNCTION("IMPORTRANGE(""https://docs.google.com/spreadsheets/d/1Yj_ptqi66GCucihVvJfMjLAmec39IyEx_6qawtMGysU/edit?usp=sharing"",""สบก!AY74"")"),0.0)</f>
        <v>0</v>
      </c>
      <c r="M126" s="125"/>
      <c r="N126" s="115">
        <f>IFERROR(__xludf.DUMMYFUNCTION("IMPORTRANGE(""https://docs.google.com/spreadsheets/d/1Yj_ptqi66GCucihVvJfMjLAmec39IyEx_6qawtMGysU/edit?usp=sharing"",""สบก!BC74"")"),0.0)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IFERROR(__xludf.DUMMYFUNCTION("IMPORTRANGE(""https://docs.google.com/spreadsheets/d/1SX6NBoVAgQJ6U1MVXOaj8PK2l7WJ3RER9xtqwdhxkhw/edit?usp=sharing"",""ลพบุรี!J58"")"),1.0)</f>
        <v>1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IFERROR(__xludf.DUMMYFUNCTION("IMPORTRANGE(""https://docs.google.com/spreadsheets/d/1SX6NBoVAgQJ6U1MVXOaj8PK2l7WJ3RER9xtqwdhxkhw/edit?usp=sharing"",""ลพบุรี!J59"")"),0.0)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IFERROR(__xludf.DUMMYFUNCTION("IMPORTRANGE(""https://docs.google.com/spreadsheets/d/1SX6NBoVAgQJ6U1MVXOaj8PK2l7WJ3RER9xtqwdhxkhw/edit?usp=sharing"",""ลพบุรี!J60"")"),0.0)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IFERROR(__xludf.DUMMYFUNCTION("IMPORTRANGE(""https://docs.google.com/spreadsheets/d/1SX6NBoVAgQJ6U1MVXOaj8PK2l7WJ3RER9xtqwdhxkhw/edit?usp=sharing"",""ลพบุรี!J61"")"),0.0)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IFERROR(__xludf.DUMMYFUNCTION("IMPORTRANGE(""https://docs.google.com/spreadsheets/d/1SX6NBoVAgQJ6U1MVXOaj8PK2l7WJ3RER9xtqwdhxkhw/edit?usp=sharing"",""ลพบุรี!I62"")"),15.0)</f>
        <v>15</v>
      </c>
      <c r="J132" s="238">
        <f>IFERROR(__xludf.DUMMYFUNCTION("IMPORTRANGE(""https://docs.google.com/spreadsheets/d/1SX6NBoVAgQJ6U1MVXOaj8PK2l7WJ3RER9xtqwdhxkhw/edit?usp=sharing"",""ลพบุรี!J62"")"),0.0)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IFERROR(__xludf.DUMMYFUNCTION("IMPORTRANGE(""https://docs.google.com/spreadsheets/d/1SX6NBoVAgQJ6U1MVXOaj8PK2l7WJ3RER9xtqwdhxkhw/edit?usp=sharing"",""ลพบุรี!I63"")"),15.0)</f>
        <v>15</v>
      </c>
      <c r="J133" s="238">
        <f>IFERROR(__xludf.DUMMYFUNCTION("IMPORTRANGE(""https://docs.google.com/spreadsheets/d/1SX6NBoVAgQJ6U1MVXOaj8PK2l7WJ3RER9xtqwdhxkhw/edit?usp=sharing"",""ลพบุรี!J63"")"),0.0)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IFERROR(__xludf.DUMMYFUNCTION("IMPORTRANGE(""https://docs.google.com/spreadsheets/d/1SX6NBoVAgQJ6U1MVXOaj8PK2l7WJ3RER9xtqwdhxkhw/edit?usp=sharing"",""ลพบุรี!J64"")"),0.0)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IFERROR(__xludf.DUMMYFUNCTION("IMPORTRANGE(""https://docs.google.com/spreadsheets/d/1SX6NBoVAgQJ6U1MVXOaj8PK2l7WJ3RER9xtqwdhxkhw/edit?usp=sharing"",""ลพบุรี!J65"")"),0.0)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IFERROR(__xludf.DUMMYFUNCTION("IMPORTRANGE(""https://docs.google.com/spreadsheets/d/1SX6NBoVAgQJ6U1MVXOaj8PK2l7WJ3RER9xtqwdhxkhw/edit?usp=sharing"",""ลพบุรี!I68"")"),0.0)</f>
        <v>0</v>
      </c>
      <c r="J138" s="301">
        <f>IFERROR(__xludf.DUMMYFUNCTION("IMPORTRANGE(""https://docs.google.com/spreadsheets/d/1SX6NBoVAgQJ6U1MVXOaj8PK2l7WJ3RER9xtqwdhxkhw/edit?usp=sharing"",""ลพบุรี!J68"")"),0.0)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97500</v>
      </c>
      <c r="M140" s="183">
        <f t="shared" si="65"/>
        <v>59750</v>
      </c>
      <c r="N140" s="183">
        <f t="shared" si="65"/>
        <v>0</v>
      </c>
      <c r="O140" s="182">
        <f t="shared" ref="O140:O142" si="67">IF(L140&gt;0,N140*100/L140,0)</f>
        <v>0</v>
      </c>
      <c r="P140" s="182">
        <f t="shared" ref="P140:P142" si="68">IF(M140&gt;0,N140*100/M140,0)</f>
        <v>0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97500</v>
      </c>
      <c r="M142" s="188">
        <f t="shared" si="69"/>
        <v>59750</v>
      </c>
      <c r="N142" s="188">
        <f t="shared" si="69"/>
        <v>0</v>
      </c>
      <c r="O142" s="187">
        <f t="shared" si="67"/>
        <v>0</v>
      </c>
      <c r="P142" s="187">
        <f t="shared" si="68"/>
        <v>0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97500</v>
      </c>
      <c r="M144" s="201">
        <f>IFERROR(__xludf.DUMMYFUNCTION("IMPORTRANGE(""https://docs.google.com/spreadsheets/d/1Yj_ptqi66GCucihVvJfMjLAmec39IyEx_6qawtMGysU/edit?usp=sharing"",""สบก!BJ74"")"),59750.0)</f>
        <v>59750</v>
      </c>
      <c r="N144" s="202">
        <f>IFERROR(__xludf.DUMMYFUNCTION("IMPORTRANGE(""https://docs.google.com/spreadsheets/d/1Yj_ptqi66GCucihVvJfMjLAmec39IyEx_6qawtMGysU/edit?usp=sharing"",""สบก!BK74"")"),0.0)</f>
        <v>0</v>
      </c>
      <c r="O144" s="203">
        <f>IF(L144&gt;0,N144*100/L144,0)</f>
        <v>0</v>
      </c>
      <c r="P144" s="203">
        <f>IF(M144&gt;0,N144*100/M144,0)</f>
        <v>0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IFERROR(__xludf.DUMMYFUNCTION("IMPORTRANGE(""https://docs.google.com/spreadsheets/d/1Yj_ptqi66GCucihVvJfMjLAmec39IyEx_6qawtMGysU/edit?usp=sharing"",""สบก!BF74"")"),0.0)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IFERROR(__xludf.DUMMYFUNCTION("IMPORTRANGE(""https://docs.google.com/spreadsheets/d/1Yj_ptqi66GCucihVvJfMjLAmec39IyEx_6qawtMGysU/edit?usp=sharing"",""สบก!BG74"")"),97500.0)</f>
        <v>97500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IFERROR(__xludf.DUMMYFUNCTION("IMPORTRANGE(""https://docs.google.com/spreadsheets/d/1Yj_ptqi66GCucihVvJfMjLAmec39IyEx_6qawtMGysU/edit?usp=sharing"",""สบก!BH74"")"),0.0)</f>
        <v>0</v>
      </c>
      <c r="M148" s="125"/>
      <c r="N148" s="115">
        <f>IFERROR(__xludf.DUMMYFUNCTION("IMPORTRANGE(""https://docs.google.com/spreadsheets/d/1Yj_ptqi66GCucihVvJfMjLAmec39IyEx_6qawtMGysU/edit?usp=sharing"",""สบก!BL74"")"),0.0)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IFERROR(__xludf.DUMMYFUNCTION("IMPORTRANGE(""https://docs.google.com/spreadsheets/d/1SX6NBoVAgQJ6U1MVXOaj8PK2l7WJ3RER9xtqwdhxkhw/edit?usp=sharing"",""ลพบุรี!I74"")"),4.0)</f>
        <v>4</v>
      </c>
      <c r="J149" s="309">
        <f>IFERROR(__xludf.DUMMYFUNCTION("IMPORTRANGE(""https://docs.google.com/spreadsheets/d/1SX6NBoVAgQJ6U1MVXOaj8PK2l7WJ3RER9xtqwdhxkhw/edit?usp=sharing"",""ลพบุรี!J74"")"),0.0)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IFERROR(__xludf.DUMMYFUNCTION("IMPORTRANGE(""https://docs.google.com/spreadsheets/d/1SX6NBoVAgQJ6U1MVXOaj8PK2l7WJ3RER9xtqwdhxkhw/edit?usp=sharing"",""ลพบุรี!J79"")"),1.0)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IFERROR(__xludf.DUMMYFUNCTION("IMPORTRANGE(""https://docs.google.com/spreadsheets/d/1SX6NBoVAgQJ6U1MVXOaj8PK2l7WJ3RER9xtqwdhxkhw/edit?usp=sharing"",""ลพบุรี!J80"")"),0.0)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IFERROR(__xludf.DUMMYFUNCTION("IMPORTRANGE(""https://docs.google.com/spreadsheets/d/1SX6NBoVAgQJ6U1MVXOaj8PK2l7WJ3RER9xtqwdhxkhw/edit?usp=sharing"",""ลพบุรี!J81"")"),0.0)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IFERROR(__xludf.DUMMYFUNCTION("IMPORTRANGE(""https://docs.google.com/spreadsheets/d/1SX6NBoVAgQJ6U1MVXOaj8PK2l7WJ3RER9xtqwdhxkhw/edit?usp=sharing"",""ลพบุรี!J82"")"),0.0)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IFERROR(__xludf.DUMMYFUNCTION("IMPORTRANGE(""https://docs.google.com/spreadsheets/d/1SX6NBoVAgQJ6U1MVXOaj8PK2l7WJ3RER9xtqwdhxkhw/edit?usp=sharing"",""ลพบุรี!I83"")"),4.0)</f>
        <v>4</v>
      </c>
      <c r="J158" s="223">
        <f>IFERROR(__xludf.DUMMYFUNCTION("IMPORTRANGE(""https://docs.google.com/spreadsheets/d/1SX6NBoVAgQJ6U1MVXOaj8PK2l7WJ3RER9xtqwdhxkhw/edit?usp=sharing"",""ลพบุรี!J83"")"),0.0)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IFERROR(__xludf.DUMMYFUNCTION("IMPORTRANGE(""https://docs.google.com/spreadsheets/d/1SX6NBoVAgQJ6U1MVXOaj8PK2l7WJ3RER9xtqwdhxkhw/edit?usp=sharing"",""ลพบุรี!J84"")"),0.0)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IFERROR(__xludf.DUMMYFUNCTION("IMPORTRANGE(""https://docs.google.com/spreadsheets/d/1SX6NBoVAgQJ6U1MVXOaj8PK2l7WJ3RER9xtqwdhxkhw/edit?usp=sharing"",""ลพบุรี!J85"")"),0.0)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IFERROR(__xludf.DUMMYFUNCTION("IMPORTRANGE(""https://docs.google.com/spreadsheets/d/1SX6NBoVAgQJ6U1MVXOaj8PK2l7WJ3RER9xtqwdhxkhw/edit?usp=sharing"",""ลพบุรี!J86"")"),0.0)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IFERROR(__xludf.DUMMYFUNCTION("IMPORTRANGE(""https://docs.google.com/spreadsheets/d/1SX6NBoVAgQJ6U1MVXOaj8PK2l7WJ3RER9xtqwdhxkhw/edit?usp=sharing"",""ลพบุรี!J87"")"),0.0)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IFERROR(__xludf.DUMMYFUNCTION("IMPORTRANGE(""https://docs.google.com/spreadsheets/d/1SX6NBoVAgQJ6U1MVXOaj8PK2l7WJ3RER9xtqwdhxkhw/edit?usp=sharing"",""ลพบุรี!J88"")"),0.0)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IFERROR(__xludf.DUMMYFUNCTION("IMPORTRANGE(""https://docs.google.com/spreadsheets/d/1SX6NBoVAgQJ6U1MVXOaj8PK2l7WJ3RER9xtqwdhxkhw/edit?usp=sharing"",""ลพบุรี!I89"")"),4.0)</f>
        <v>4</v>
      </c>
      <c r="J164" s="317">
        <f>IFERROR(__xludf.DUMMYFUNCTION("IMPORTRANGE(""https://docs.google.com/spreadsheets/d/1SX6NBoVAgQJ6U1MVXOaj8PK2l7WJ3RER9xtqwdhxkhw/edit?usp=sharing"",""ลพบุรี!J89"")"),0.0)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IFERROR(__xludf.DUMMYFUNCTION("IMPORTRANGE(""https://docs.google.com/spreadsheets/d/1SX6NBoVAgQJ6U1MVXOaj8PK2l7WJ3RER9xtqwdhxkhw/edit?usp=sharing"",""ลพบุรี!J94"")"),0.0)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IFERROR(__xludf.DUMMYFUNCTION("IMPORTRANGE(""https://docs.google.com/spreadsheets/d/1SX6NBoVAgQJ6U1MVXOaj8PK2l7WJ3RER9xtqwdhxkhw/edit?usp=sharing"",""ลพบุรี!J95"")"),1.0)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IFERROR(__xludf.DUMMYFUNCTION("IMPORTRANGE(""https://docs.google.com/spreadsheets/d/1SX6NBoVAgQJ6U1MVXOaj8PK2l7WJ3RER9xtqwdhxkhw/edit?usp=sharing"",""ลพบุรี!J96"")"),1.0)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IFERROR(__xludf.DUMMYFUNCTION("IMPORTRANGE(""https://docs.google.com/spreadsheets/d/1SX6NBoVAgQJ6U1MVXOaj8PK2l7WJ3RER9xtqwdhxkhw/edit?usp=sharing"",""ลพบุรี!J97"")"),1.0)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IFERROR(__xludf.DUMMYFUNCTION("IMPORTRANGE(""https://docs.google.com/spreadsheets/d/1SX6NBoVAgQJ6U1MVXOaj8PK2l7WJ3RER9xtqwdhxkhw/edit?usp=sharing"",""ลพบุรี!I98"")"),4.0)</f>
        <v>4</v>
      </c>
      <c r="J173" s="223">
        <f>IFERROR(__xludf.DUMMYFUNCTION("IMPORTRANGE(""https://docs.google.com/spreadsheets/d/1SX6NBoVAgQJ6U1MVXOaj8PK2l7WJ3RER9xtqwdhxkhw/edit?usp=sharing"",""ลพบุรี!J98"")"),0.0)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IFERROR(__xludf.DUMMYFUNCTION("IMPORTRANGE(""https://docs.google.com/spreadsheets/d/1SX6NBoVAgQJ6U1MVXOaj8PK2l7WJ3RER9xtqwdhxkhw/edit?usp=sharing"",""ลพบุรี!J99"")"),0.0)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IFERROR(__xludf.DUMMYFUNCTION("IMPORTRANGE(""https://docs.google.com/spreadsheets/d/1SX6NBoVAgQJ6U1MVXOaj8PK2l7WJ3RER9xtqwdhxkhw/edit?usp=sharing"",""ลพบุรี!J100"")"),0.0)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IFERROR(__xludf.DUMMYFUNCTION("IMPORTRANGE(""https://docs.google.com/spreadsheets/d/1SX6NBoVAgQJ6U1MVXOaj8PK2l7WJ3RER9xtqwdhxkhw/edit?usp=sharing"",""ลพบุรี!I101"")"),0.0)</f>
        <v>0</v>
      </c>
      <c r="J176" s="317">
        <f>IFERROR(__xludf.DUMMYFUNCTION("IMPORTRANGE(""https://docs.google.com/spreadsheets/d/1SX6NBoVAgQJ6U1MVXOaj8PK2l7WJ3RER9xtqwdhxkhw/edit?usp=sharing"",""ลพบุรี!J101"")"),0.0)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IFERROR(__xludf.DUMMYFUNCTION("IMPORTRANGE(""https://docs.google.com/spreadsheets/d/1SX6NBoVAgQJ6U1MVXOaj8PK2l7WJ3RER9xtqwdhxkhw/edit?usp=sharing"",""ลพบุรี!J106"")"),0.0)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IFERROR(__xludf.DUMMYFUNCTION("IMPORTRANGE(""https://docs.google.com/spreadsheets/d/1SX6NBoVAgQJ6U1MVXOaj8PK2l7WJ3RER9xtqwdhxkhw/edit?usp=sharing"",""ลพบุรี!J107"")"),0.0)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IFERROR(__xludf.DUMMYFUNCTION("IMPORTRANGE(""https://docs.google.com/spreadsheets/d/1SX6NBoVAgQJ6U1MVXOaj8PK2l7WJ3RER9xtqwdhxkhw/edit?usp=sharing"",""ลพบุรี!J108"")"),0.0)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IFERROR(__xludf.DUMMYFUNCTION("IMPORTRANGE(""https://docs.google.com/spreadsheets/d/1SX6NBoVAgQJ6U1MVXOaj8PK2l7WJ3RER9xtqwdhxkhw/edit?usp=sharing"",""ลพบุรี!J109"")"),0.0)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IFERROR(__xludf.DUMMYFUNCTION("IMPORTRANGE(""https://docs.google.com/spreadsheets/d/1SX6NBoVAgQJ6U1MVXOaj8PK2l7WJ3RER9xtqwdhxkhw/edit?usp=sharing"",""ลพบุรี!I110"")"),0.0)</f>
        <v>0</v>
      </c>
      <c r="J185" s="238">
        <f>IFERROR(__xludf.DUMMYFUNCTION("IMPORTRANGE(""https://docs.google.com/spreadsheets/d/1SX6NBoVAgQJ6U1MVXOaj8PK2l7WJ3RER9xtqwdhxkhw/edit?usp=sharing"",""ลพบุรี!J110"")"),0.0)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IFERROR(__xludf.DUMMYFUNCTION("IMPORTRANGE(""https://docs.google.com/spreadsheets/d/1SX6NBoVAgQJ6U1MVXOaj8PK2l7WJ3RER9xtqwdhxkhw/edit?usp=sharing"",""ลพบุรี!I111"")"),0.0)</f>
        <v>0</v>
      </c>
      <c r="J186" s="238">
        <f>IFERROR(__xludf.DUMMYFUNCTION("IMPORTRANGE(""https://docs.google.com/spreadsheets/d/1SX6NBoVAgQJ6U1MVXOaj8PK2l7WJ3RER9xtqwdhxkhw/edit?usp=sharing"",""ลพบุรี!J111"")"),0.0)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IFERROR(__xludf.DUMMYFUNCTION("IMPORTRANGE(""https://docs.google.com/spreadsheets/d/1SX6NBoVAgQJ6U1MVXOaj8PK2l7WJ3RER9xtqwdhxkhw/edit?usp=sharing"",""ลพบุรี!J112"")"),0.0)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IFERROR(__xludf.DUMMYFUNCTION("IMPORTRANGE(""https://docs.google.com/spreadsheets/d/1SX6NBoVAgQJ6U1MVXOaj8PK2l7WJ3RER9xtqwdhxkhw/edit?usp=sharing"",""ลพบุรี!J113"")"),0.0)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IFERROR(__xludf.DUMMYFUNCTION("IMPORTRANGE(""https://docs.google.com/spreadsheets/d/1SX6NBoVAgQJ6U1MVXOaj8PK2l7WJ3RER9xtqwdhxkhw/edit?usp=sharing"",""ลพบุรี!I114"")"),100000.0)</f>
        <v>100000</v>
      </c>
      <c r="J189" s="317">
        <f>IFERROR(__xludf.DUMMYFUNCTION("IMPORTRANGE(""https://docs.google.com/spreadsheets/d/1SX6NBoVAgQJ6U1MVXOaj8PK2l7WJ3RER9xtqwdhxkhw/edit?usp=sharing"",""ลพบุรี!J114"")"),0.0)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IFERROR(__xludf.DUMMYFUNCTION("IMPORTRANGE(""https://docs.google.com/spreadsheets/d/1SX6NBoVAgQJ6U1MVXOaj8PK2l7WJ3RER9xtqwdhxkhw/edit?usp=sharing"",""ลพบุรี!J119"")"),1.0)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IFERROR(__xludf.DUMMYFUNCTION("IMPORTRANGE(""https://docs.google.com/spreadsheets/d/1SX6NBoVAgQJ6U1MVXOaj8PK2l7WJ3RER9xtqwdhxkhw/edit?usp=sharing"",""ลพบุรี!J120"")"),0.0)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IFERROR(__xludf.DUMMYFUNCTION("IMPORTRANGE(""https://docs.google.com/spreadsheets/d/1SX6NBoVAgQJ6U1MVXOaj8PK2l7WJ3RER9xtqwdhxkhw/edit?usp=sharing"",""ลพบุรี!J121"")"),0.0)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IFERROR(__xludf.DUMMYFUNCTION("IMPORTRANGE(""https://docs.google.com/spreadsheets/d/1SX6NBoVAgQJ6U1MVXOaj8PK2l7WJ3RER9xtqwdhxkhw/edit?usp=sharing"",""ลพบุรี!J122"")"),0.0)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IFERROR(__xludf.DUMMYFUNCTION("IMPORTRANGE(""https://docs.google.com/spreadsheets/d/1SX6NBoVAgQJ6U1MVXOaj8PK2l7WJ3RER9xtqwdhxkhw/edit?usp=sharing"",""ลพบุรี!I124"")"),100000.0)</f>
        <v>100000</v>
      </c>
      <c r="J199" s="223">
        <f>IFERROR(__xludf.DUMMYFUNCTION("IMPORTRANGE(""https://docs.google.com/spreadsheets/d/1SX6NBoVAgQJ6U1MVXOaj8PK2l7WJ3RER9xtqwdhxkhw/edit?usp=sharing"",""ลพบุรี!J124"")"),0.0)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IFERROR(__xludf.DUMMYFUNCTION("IMPORTRANGE(""https://docs.google.com/spreadsheets/d/1SX6NBoVAgQJ6U1MVXOaj8PK2l7WJ3RER9xtqwdhxkhw/edit?usp=sharing"",""ลพบุรี!I125"")"),100000.0)</f>
        <v>100000</v>
      </c>
      <c r="J200" s="223">
        <f>IFERROR(__xludf.DUMMYFUNCTION("IMPORTRANGE(""https://docs.google.com/spreadsheets/d/1SX6NBoVAgQJ6U1MVXOaj8PK2l7WJ3RER9xtqwdhxkhw/edit?usp=sharing"",""ลพบุรี!J125"")"),0.0)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IFERROR(__xludf.DUMMYFUNCTION("IMPORTRANGE(""https://docs.google.com/spreadsheets/d/1SX6NBoVAgQJ6U1MVXOaj8PK2l7WJ3RER9xtqwdhxkhw/edit?usp=sharing"",""ลพบุรี!I126"")"),0.0)</f>
        <v>0</v>
      </c>
      <c r="J201" s="223">
        <f>IFERROR(__xludf.DUMMYFUNCTION("IMPORTRANGE(""https://docs.google.com/spreadsheets/d/1SX6NBoVAgQJ6U1MVXOaj8PK2l7WJ3RER9xtqwdhxkhw/edit?usp=sharing"",""ลพบุรี!J126"")"),0.0)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IFERROR(__xludf.DUMMYFUNCTION("IMPORTRANGE(""https://docs.google.com/spreadsheets/d/1SX6NBoVAgQJ6U1MVXOaj8PK2l7WJ3RER9xtqwdhxkhw/edit?usp=sharing"",""ลพบุรี!J127"")"),0.0)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IFERROR(__xludf.DUMMYFUNCTION("IMPORTRANGE(""https://docs.google.com/spreadsheets/d/1SX6NBoVAgQJ6U1MVXOaj8PK2l7WJ3RER9xtqwdhxkhw/edit?usp=sharing"",""ลพบุรี!J128"")"),0.0)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IFERROR(__xludf.DUMMYFUNCTION("IMPORTRANGE(""https://docs.google.com/spreadsheets/d/1SX6NBoVAgQJ6U1MVXOaj8PK2l7WJ3RER9xtqwdhxkhw/edit?usp=sharing"",""ลพบุรี!I129"")"),0.0)</f>
        <v>0</v>
      </c>
      <c r="J204" s="317">
        <f>IFERROR(__xludf.DUMMYFUNCTION("IMPORTRANGE(""https://docs.google.com/spreadsheets/d/1SX6NBoVAgQJ6U1MVXOaj8PK2l7WJ3RER9xtqwdhxkhw/edit?usp=sharing"",""ลพบุรี!J129"")"),0.0)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IFERROR(__xludf.DUMMYFUNCTION("IMPORTRANGE(""https://docs.google.com/spreadsheets/d/1SX6NBoVAgQJ6U1MVXOaj8PK2l7WJ3RER9xtqwdhxkhw/edit?usp=sharing"",""ลพบุรี!J134"")"),0.0)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IFERROR(__xludf.DUMMYFUNCTION("IMPORTRANGE(""https://docs.google.com/spreadsheets/d/1SX6NBoVAgQJ6U1MVXOaj8PK2l7WJ3RER9xtqwdhxkhw/edit?usp=sharing"",""ลพบุรี!J135"")"),0.0)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IFERROR(__xludf.DUMMYFUNCTION("IMPORTRANGE(""https://docs.google.com/spreadsheets/d/1SX6NBoVAgQJ6U1MVXOaj8PK2l7WJ3RER9xtqwdhxkhw/edit?usp=sharing"",""ลพบุรี!J136"")"),0.0)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IFERROR(__xludf.DUMMYFUNCTION("IMPORTRANGE(""https://docs.google.com/spreadsheets/d/1SX6NBoVAgQJ6U1MVXOaj8PK2l7WJ3RER9xtqwdhxkhw/edit?usp=sharing"",""ลพบุรี!J137"")"),0.0)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IFERROR(__xludf.DUMMYFUNCTION("IMPORTRANGE(""https://docs.google.com/spreadsheets/d/1SX6NBoVAgQJ6U1MVXOaj8PK2l7WJ3RER9xtqwdhxkhw/edit?usp=sharing"",""ลพบุรี!I138"")"),0.0)</f>
        <v>0</v>
      </c>
      <c r="J213" s="238">
        <f>IFERROR(__xludf.DUMMYFUNCTION("IMPORTRANGE(""https://docs.google.com/spreadsheets/d/1SX6NBoVAgQJ6U1MVXOaj8PK2l7WJ3RER9xtqwdhxkhw/edit?usp=sharing"",""ลพบุรี!J138"")"),0.0)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IFERROR(__xludf.DUMMYFUNCTION("IMPORTRANGE(""https://docs.google.com/spreadsheets/d/1SX6NBoVAgQJ6U1MVXOaj8PK2l7WJ3RER9xtqwdhxkhw/edit?usp=sharing"",""ลพบุรี!I140"")"),0.0)</f>
        <v>0</v>
      </c>
      <c r="J215" s="238">
        <f>IFERROR(__xludf.DUMMYFUNCTION("IMPORTRANGE(""https://docs.google.com/spreadsheets/d/1SX6NBoVAgQJ6U1MVXOaj8PK2l7WJ3RER9xtqwdhxkhw/edit?usp=sharing"",""ลพบุรี!J140"")"),0.0)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IFERROR(__xludf.DUMMYFUNCTION("IMPORTRANGE(""https://docs.google.com/spreadsheets/d/1SX6NBoVAgQJ6U1MVXOaj8PK2l7WJ3RER9xtqwdhxkhw/edit?usp=sharing"",""ลพบุรี!I141"")"),0.0)</f>
        <v>0</v>
      </c>
      <c r="J216" s="238">
        <f>IFERROR(__xludf.DUMMYFUNCTION("IMPORTRANGE(""https://docs.google.com/spreadsheets/d/1SX6NBoVAgQJ6U1MVXOaj8PK2l7WJ3RER9xtqwdhxkhw/edit?usp=sharing"",""ลพบุรี!J141"")"),0.0)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IFERROR(__xludf.DUMMYFUNCTION("IMPORTRANGE(""https://docs.google.com/spreadsheets/d/1SX6NBoVAgQJ6U1MVXOaj8PK2l7WJ3RER9xtqwdhxkhw/edit?usp=sharing"",""ลพบุรี!J142"")"),0.0)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IFERROR(__xludf.DUMMYFUNCTION("IMPORTRANGE(""https://docs.google.com/spreadsheets/d/1SX6NBoVAgQJ6U1MVXOaj8PK2l7WJ3RER9xtqwdhxkhw/edit?usp=sharing"",""ลพบุรี!J143"")"),0.0)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IFERROR(__xludf.DUMMYFUNCTION("IMPORTRANGE(""https://docs.google.com/spreadsheets/d/1SX6NBoVAgQJ6U1MVXOaj8PK2l7WJ3RER9xtqwdhxkhw/edit?usp=sharing"",""ลพบุรี!I144"")"),15.0)</f>
        <v>15</v>
      </c>
      <c r="J219" s="301">
        <f>IFERROR(__xludf.DUMMYFUNCTION("IMPORTRANGE(""https://docs.google.com/spreadsheets/d/1SX6NBoVAgQJ6U1MVXOaj8PK2l7WJ3RER9xtqwdhxkhw/edit?usp=sharing"",""ลพบุรี!J144"")"),15.0)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IFERROR(__xludf.DUMMYFUNCTION("IMPORTRANGE(""https://docs.google.com/spreadsheets/d/1Yj_ptqi66GCucihVvJfMjLAmec39IyEx_6qawtMGysU/edit?usp=sharing"",""สบก!BS74"")"),21125.0)</f>
        <v>21125</v>
      </c>
      <c r="N224" s="202">
        <f>IFERROR(__xludf.DUMMYFUNCTION("IMPORTRANGE(""https://docs.google.com/spreadsheets/d/1Yj_ptqi66GCucihVvJfMjLAmec39IyEx_6qawtMGysU/edit?usp=sharing"",""สบก!BT74"")"),21125.0)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IFERROR(__xludf.DUMMYFUNCTION("IMPORTRANGE(""https://docs.google.com/spreadsheets/d/1Yj_ptqi66GCucihVvJfMjLAmec39IyEx_6qawtMGysU/edit?usp=sharing"",""สบก!BO74"")"),0.0)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IFERROR(__xludf.DUMMYFUNCTION("IMPORTRANGE(""https://docs.google.com/spreadsheets/d/1Yj_ptqi66GCucihVvJfMjLAmec39IyEx_6qawtMGysU/edit?usp=sharing"",""สบก!BP74"")"),21125.0)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IFERROR(__xludf.DUMMYFUNCTION("IMPORTRANGE(""https://docs.google.com/spreadsheets/d/1Yj_ptqi66GCucihVvJfMjLAmec39IyEx_6qawtMGysU/edit?usp=sharing"",""สบก!BQ74"")"),0.0)</f>
        <v>0</v>
      </c>
      <c r="M228" s="125"/>
      <c r="N228" s="115">
        <f>IFERROR(__xludf.DUMMYFUNCTION("IMPORTRANGE(""https://docs.google.com/spreadsheets/d/1Yj_ptqi66GCucihVvJfMjLAmec39IyEx_6qawtMGysU/edit?usp=sharing"",""สบก!BU74"")"),0.0)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IFERROR(__xludf.DUMMYFUNCTION("IMPORTRANGE(""https://docs.google.com/spreadsheets/d/1SX6NBoVAgQJ6U1MVXOaj8PK2l7WJ3RER9xtqwdhxkhw/edit?usp=sharing"",""ลพบุรี!I149"")"),15.0)</f>
        <v>15</v>
      </c>
      <c r="J229" s="301">
        <f>IFERROR(__xludf.DUMMYFUNCTION("IMPORTRANGE(""https://docs.google.com/spreadsheets/d/1SX6NBoVAgQJ6U1MVXOaj8PK2l7WJ3RER9xtqwdhxkhw/edit?usp=sharing"",""ลพบุรี!J149"")"),15.0)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IFERROR(__xludf.DUMMYFUNCTION("IMPORTRANGE(""https://docs.google.com/spreadsheets/d/1SX6NBoVAgQJ6U1MVXOaj8PK2l7WJ3RER9xtqwdhxkhw/edit?usp=sharing"",""ลพบุรี!J151"")"),0.0)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IFERROR(__xludf.DUMMYFUNCTION("IMPORTRANGE(""https://docs.google.com/spreadsheets/d/1SX6NBoVAgQJ6U1MVXOaj8PK2l7WJ3RER9xtqwdhxkhw/edit?usp=sharing"",""ลพบุรี!J152"")"),1.0)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IFERROR(__xludf.DUMMYFUNCTION("IMPORTRANGE(""https://docs.google.com/spreadsheets/d/1SX6NBoVAgQJ6U1MVXOaj8PK2l7WJ3RER9xtqwdhxkhw/edit?usp=sharing"",""ลพบุรี!J153"")"),1.0)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IFERROR(__xludf.DUMMYFUNCTION("IMPORTRANGE(""https://docs.google.com/spreadsheets/d/1SX6NBoVAgQJ6U1MVXOaj8PK2l7WJ3RER9xtqwdhxkhw/edit?usp=sharing"",""ลพบุรี!J154"")"),1.0)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IFERROR(__xludf.DUMMYFUNCTION("IMPORTRANGE(""https://docs.google.com/spreadsheets/d/1SX6NBoVAgQJ6U1MVXOaj8PK2l7WJ3RER9xtqwdhxkhw/edit?usp=sharing"",""ลพบุรี!I155"")"),15.0)</f>
        <v>15</v>
      </c>
      <c r="J235" s="223">
        <f>IFERROR(__xludf.DUMMYFUNCTION("IMPORTRANGE(""https://docs.google.com/spreadsheets/d/1SX6NBoVAgQJ6U1MVXOaj8PK2l7WJ3RER9xtqwdhxkhw/edit?usp=sharing"",""ลพบุรี!J155"")"),15.0)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IFERROR(__xludf.DUMMYFUNCTION("IMPORTRANGE(""https://docs.google.com/spreadsheets/d/1SX6NBoVAgQJ6U1MVXOaj8PK2l7WJ3RER9xtqwdhxkhw/edit?usp=sharing"",""ลพบุรี!J156"")"),1.0)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IFERROR(__xludf.DUMMYFUNCTION("IMPORTRANGE(""https://docs.google.com/spreadsheets/d/1SX6NBoVAgQJ6U1MVXOaj8PK2l7WJ3RER9xtqwdhxkhw/edit?usp=sharing"",""ลพบุรี!J157"")"),0.0)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IFERROR(__xludf.DUMMYFUNCTION("IMPORTRANGE(""https://docs.google.com/spreadsheets/d/1SX6NBoVAgQJ6U1MVXOaj8PK2l7WJ3RER9xtqwdhxkhw/edit?usp=sharing"",""ลพบุรี!I158"")"),0.0)</f>
        <v>0</v>
      </c>
      <c r="J238" s="301">
        <f>IFERROR(__xludf.DUMMYFUNCTION("IMPORTRANGE(""https://docs.google.com/spreadsheets/d/1SX6NBoVAgQJ6U1MVXOaj8PK2l7WJ3RER9xtqwdhxkhw/edit?usp=sharing"",""ลพบุรี!J158"")"),0.0)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IFERROR(__xludf.DUMMYFUNCTION("IMPORTRANGE(""https://docs.google.com/spreadsheets/d/1SX6NBoVAgQJ6U1MVXOaj8PK2l7WJ3RER9xtqwdhxkhw/edit?usp=sharing"",""ลพบุรี!J159"")"),"")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IFERROR(__xludf.DUMMYFUNCTION("IMPORTRANGE(""https://docs.google.com/spreadsheets/d/1SX6NBoVAgQJ6U1MVXOaj8PK2l7WJ3RER9xtqwdhxkhw/edit?usp=sharing"",""ลพบุรี!J161"")"),0.0)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IFERROR(__xludf.DUMMYFUNCTION("IMPORTRANGE(""https://docs.google.com/spreadsheets/d/1SX6NBoVAgQJ6U1MVXOaj8PK2l7WJ3RER9xtqwdhxkhw/edit?usp=sharing"",""ลพบุรี!J162"")"),0.0)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IFERROR(__xludf.DUMMYFUNCTION("IMPORTRANGE(""https://docs.google.com/spreadsheets/d/1SX6NBoVAgQJ6U1MVXOaj8PK2l7WJ3RER9xtqwdhxkhw/edit?usp=sharing"",""ลพบุรี!J163"")"),0.0)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IFERROR(__xludf.DUMMYFUNCTION("IMPORTRANGE(""https://docs.google.com/spreadsheets/d/1SX6NBoVAgQJ6U1MVXOaj8PK2l7WJ3RER9xtqwdhxkhw/edit?usp=sharing"",""ลพบุรี!I164"")"),0.0)</f>
        <v>0</v>
      </c>
      <c r="J244" s="222">
        <f>IFERROR(__xludf.DUMMYFUNCTION("IMPORTRANGE(""https://docs.google.com/spreadsheets/d/1SX6NBoVAgQJ6U1MVXOaj8PK2l7WJ3RER9xtqwdhxkhw/edit?usp=sharing"",""ลพบุรี!J164"")"),0.0)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IFERROR(__xludf.DUMMYFUNCTION("IMPORTRANGE(""https://docs.google.com/spreadsheets/d/1SX6NBoVAgQJ6U1MVXOaj8PK2l7WJ3RER9xtqwdhxkhw/edit?usp=sharing"",""ลพบุรี!J165"")"),0.0)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IFERROR(__xludf.DUMMYFUNCTION("IMPORTRANGE(""https://docs.google.com/spreadsheets/d/1SX6NBoVAgQJ6U1MVXOaj8PK2l7WJ3RER9xtqwdhxkhw/edit?usp=sharing"",""ลพบุรี!J166"")"),0.0)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IFERROR(__xludf.DUMMYFUNCTION("IMPORTRANGE(""https://docs.google.com/spreadsheets/d/1SX6NBoVAgQJ6U1MVXOaj8PK2l7WJ3RER9xtqwdhxkhw/edit?usp=sharing"",""ลพบุรี!I169"")"),25.0)</f>
        <v>25</v>
      </c>
      <c r="J249" s="349">
        <f>IFERROR(__xludf.DUMMYFUNCTION("IMPORTRANGE(""https://docs.google.com/spreadsheets/d/1SX6NBoVAgQJ6U1MVXOaj8PK2l7WJ3RER9xtqwdhxkhw/edit?usp=sharing"",""ลพบุรี!J169"")"),0.0)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199500</v>
      </c>
      <c r="M250" s="183">
        <f t="shared" si="78"/>
        <v>97500</v>
      </c>
      <c r="N250" s="183">
        <f t="shared" si="78"/>
        <v>36510</v>
      </c>
      <c r="O250" s="182">
        <f t="shared" ref="O250:O252" si="80">IF(L250&gt;0,N250*100/L250,0)</f>
        <v>18.30075188</v>
      </c>
      <c r="P250" s="182">
        <f t="shared" ref="P250:P252" si="81">IF(M250&gt;0,N250*100/M250,0)</f>
        <v>37.44615385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199500</v>
      </c>
      <c r="M252" s="188">
        <f t="shared" si="82"/>
        <v>97500</v>
      </c>
      <c r="N252" s="188">
        <f t="shared" si="82"/>
        <v>36510</v>
      </c>
      <c r="O252" s="187">
        <f t="shared" si="80"/>
        <v>18.30075188</v>
      </c>
      <c r="P252" s="187">
        <f t="shared" si="81"/>
        <v>37.44615385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199500</v>
      </c>
      <c r="M254" s="201">
        <f>IFERROR(__xludf.DUMMYFUNCTION("IMPORTRANGE(""https://docs.google.com/spreadsheets/d/1Yj_ptqi66GCucihVvJfMjLAmec39IyEx_6qawtMGysU/edit?usp=sharing"",""สบก!CB74"")"),97500.0)</f>
        <v>97500</v>
      </c>
      <c r="N254" s="202">
        <f>IFERROR(__xludf.DUMMYFUNCTION("IMPORTRANGE(""https://docs.google.com/spreadsheets/d/1Yj_ptqi66GCucihVvJfMjLAmec39IyEx_6qawtMGysU/edit?usp=sharing"",""สบก!CC74"")"),36510.0)</f>
        <v>36510</v>
      </c>
      <c r="O254" s="203">
        <f>IF(L254&gt;0,N254*100/L254,0)</f>
        <v>18.30075188</v>
      </c>
      <c r="P254" s="203">
        <f>IF(M254&gt;0,N254*100/M254,0)</f>
        <v>37.44615385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IFERROR(__xludf.DUMMYFUNCTION("IMPORTRANGE(""https://docs.google.com/spreadsheets/d/1Yj_ptqi66GCucihVvJfMjLAmec39IyEx_6qawtMGysU/edit?usp=sharing"",""สบก!BX74"")"),0.0)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IFERROR(__xludf.DUMMYFUNCTION("IMPORTRANGE(""https://docs.google.com/spreadsheets/d/1Yj_ptqi66GCucihVvJfMjLAmec39IyEx_6qawtMGysU/edit?usp=sharing"",""สบก!BY74"")"),199500.0)</f>
        <v>199500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IFERROR(__xludf.DUMMYFUNCTION("IMPORTRANGE(""https://docs.google.com/spreadsheets/d/1Yj_ptqi66GCucihVvJfMjLAmec39IyEx_6qawtMGysU/edit?usp=sharing"",""สบก!BZ74"")"),0.0)</f>
        <v>0</v>
      </c>
      <c r="M258" s="125"/>
      <c r="N258" s="115">
        <f>IFERROR(__xludf.DUMMYFUNCTION("IMPORTRANGE(""https://docs.google.com/spreadsheets/d/1Yj_ptqi66GCucihVvJfMjLAmec39IyEx_6qawtMGysU/edit?usp=sharing"",""สบก!CD74"")"),0.0)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IFERROR(__xludf.DUMMYFUNCTION("IMPORTRANGE(""https://docs.google.com/spreadsheets/d/1SX6NBoVAgQJ6U1MVXOaj8PK2l7WJ3RER9xtqwdhxkhw/edit?usp=sharing"",""ลพบุรี!J175"")"),1.0)</f>
        <v>1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IFERROR(__xludf.DUMMYFUNCTION("IMPORTRANGE(""https://docs.google.com/spreadsheets/d/1SX6NBoVAgQJ6U1MVXOaj8PK2l7WJ3RER9xtqwdhxkhw/edit?usp=sharing"",""ลพบุรี!J176"")"),0.0)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IFERROR(__xludf.DUMMYFUNCTION("IMPORTRANGE(""https://docs.google.com/spreadsheets/d/1SX6NBoVAgQJ6U1MVXOaj8PK2l7WJ3RER9xtqwdhxkhw/edit?usp=sharing"",""ลพบุรี!J177"")"),0.0)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IFERROR(__xludf.DUMMYFUNCTION("IMPORTRANGE(""https://docs.google.com/spreadsheets/d/1SX6NBoVAgQJ6U1MVXOaj8PK2l7WJ3RER9xtqwdhxkhw/edit?usp=sharing"",""ลพบุรี!J178"")"),0.0)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IFERROR(__xludf.DUMMYFUNCTION("IMPORTRANGE(""https://docs.google.com/spreadsheets/d/1SX6NBoVAgQJ6U1MVXOaj8PK2l7WJ3RER9xtqwdhxkhw/edit?usp=sharing"",""ลพบุรี!I179"")"),1.0)</f>
        <v>1</v>
      </c>
      <c r="J264" s="223">
        <f>IFERROR(__xludf.DUMMYFUNCTION("IMPORTRANGE(""https://docs.google.com/spreadsheets/d/1SX6NBoVAgQJ6U1MVXOaj8PK2l7WJ3RER9xtqwdhxkhw/edit?usp=sharing"",""ลพบุรี!J179"")"),0.0)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IFERROR(__xludf.DUMMYFUNCTION("IMPORTRANGE(""https://docs.google.com/spreadsheets/d/1SX6NBoVAgQJ6U1MVXOaj8PK2l7WJ3RER9xtqwdhxkhw/edit?usp=sharing"",""ลพบุรี!I180"")"),25.0)</f>
        <v>25</v>
      </c>
      <c r="J265" s="223">
        <f>IFERROR(__xludf.DUMMYFUNCTION("IMPORTRANGE(""https://docs.google.com/spreadsheets/d/1SX6NBoVAgQJ6U1MVXOaj8PK2l7WJ3RER9xtqwdhxkhw/edit?usp=sharing"",""ลพบุรี!J180"")"),0.0)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IFERROR(__xludf.DUMMYFUNCTION("IMPORTRANGE(""https://docs.google.com/spreadsheets/d/1SX6NBoVAgQJ6U1MVXOaj8PK2l7WJ3RER9xtqwdhxkhw/edit?usp=sharing"",""ลพบุรี!I181"")"),25.0)</f>
        <v>25</v>
      </c>
      <c r="J266" s="223">
        <f>IFERROR(__xludf.DUMMYFUNCTION("IMPORTRANGE(""https://docs.google.com/spreadsheets/d/1SX6NBoVAgQJ6U1MVXOaj8PK2l7WJ3RER9xtqwdhxkhw/edit?usp=sharing"",""ลพบุรี!J181"")"),0.0)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IFERROR(__xludf.DUMMYFUNCTION("IMPORTRANGE(""https://docs.google.com/spreadsheets/d/1SX6NBoVAgQJ6U1MVXOaj8PK2l7WJ3RER9xtqwdhxkhw/edit?usp=sharing"",""ลพบุรี!I182"")"),1.0)</f>
        <v>1</v>
      </c>
      <c r="J267" s="223">
        <f>IFERROR(__xludf.DUMMYFUNCTION("IMPORTRANGE(""https://docs.google.com/spreadsheets/d/1SX6NBoVAgQJ6U1MVXOaj8PK2l7WJ3RER9xtqwdhxkhw/edit?usp=sharing"",""ลพบุรี!J182"")"),0.0)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IFERROR(__xludf.DUMMYFUNCTION("IMPORTRANGE(""https://docs.google.com/spreadsheets/d/1SX6NBoVAgQJ6U1MVXOaj8PK2l7WJ3RER9xtqwdhxkhw/edit?usp=sharing"",""ลพบุรี!J183"")"),0.0)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IFERROR(__xludf.DUMMYFUNCTION("IMPORTRANGE(""https://docs.google.com/spreadsheets/d/1SX6NBoVAgQJ6U1MVXOaj8PK2l7WJ3RER9xtqwdhxkhw/edit?usp=sharing"",""ลพบุรี!J184"")"),0.0)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IFERROR(__xludf.DUMMYFUNCTION("IMPORTRANGE(""https://docs.google.com/spreadsheets/d/1SX6NBoVAgQJ6U1MVXOaj8PK2l7WJ3RER9xtqwdhxkhw/edit?usp=sharing"",""ลพบุรี!I185"")"),15.0)</f>
        <v>15</v>
      </c>
      <c r="J270" s="349">
        <f>IFERROR(__xludf.DUMMYFUNCTION("IMPORTRANGE(""https://docs.google.com/spreadsheets/d/1SX6NBoVAgQJ6U1MVXOaj8PK2l7WJ3RER9xtqwdhxkhw/edit?usp=sharing"",""ลพบุรี!J185"")"),0.0)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980</v>
      </c>
      <c r="O271" s="182">
        <f t="shared" ref="O271:O273" si="86">IF(L271&gt;0,N271*100/L271,0)</f>
        <v>1.775362319</v>
      </c>
      <c r="P271" s="182">
        <f t="shared" ref="P271:P273" si="87">IF(M271&gt;0,N271*100/M271,0)</f>
        <v>3.03875969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980</v>
      </c>
      <c r="O273" s="187">
        <f t="shared" si="86"/>
        <v>1.775362319</v>
      </c>
      <c r="P273" s="187">
        <f t="shared" si="87"/>
        <v>3.03875969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IFERROR(__xludf.DUMMYFUNCTION("IMPORTRANGE(""https://docs.google.com/spreadsheets/d/1Yj_ptqi66GCucihVvJfMjLAmec39IyEx_6qawtMGysU/edit?usp=sharing"",""สบก!CK74"")"),32250.0)</f>
        <v>32250</v>
      </c>
      <c r="N275" s="202">
        <f>IFERROR(__xludf.DUMMYFUNCTION("IMPORTRANGE(""https://docs.google.com/spreadsheets/d/1Yj_ptqi66GCucihVvJfMjLAmec39IyEx_6qawtMGysU/edit?usp=sharing"",""สบก!CL74"")"),980.0)</f>
        <v>980</v>
      </c>
      <c r="O275" s="203">
        <f>IF(L275&gt;0,N275*100/L275,0)</f>
        <v>1.775362319</v>
      </c>
      <c r="P275" s="203">
        <f>IF(M275&gt;0,N275*100/M275,0)</f>
        <v>3.03875969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IFERROR(__xludf.DUMMYFUNCTION("IMPORTRANGE(""https://docs.google.com/spreadsheets/d/1Yj_ptqi66GCucihVvJfMjLAmec39IyEx_6qawtMGysU/edit?usp=sharing"",""สบก!CG74"")"),0.0)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IFERROR(__xludf.DUMMYFUNCTION("IMPORTRANGE(""https://docs.google.com/spreadsheets/d/1Yj_ptqi66GCucihVvJfMjLAmec39IyEx_6qawtMGysU/edit?usp=sharing"",""สบก!CH74"")"),55200.0)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IFERROR(__xludf.DUMMYFUNCTION("IMPORTRANGE(""https://docs.google.com/spreadsheets/d/1Yj_ptqi66GCucihVvJfMjLAmec39IyEx_6qawtMGysU/edit?usp=sharing"",""สบก!CI74"")"),0.0)</f>
        <v>0</v>
      </c>
      <c r="M279" s="125"/>
      <c r="N279" s="115">
        <f>IFERROR(__xludf.DUMMYFUNCTION("IMPORTRANGE(""https://docs.google.com/spreadsheets/d/1Yj_ptqi66GCucihVvJfMjLAmec39IyEx_6qawtMGysU/edit?usp=sharing"",""สบก!CM74"")"),0.0)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IFERROR(__xludf.DUMMYFUNCTION("IMPORTRANGE(""https://docs.google.com/spreadsheets/d/1SX6NBoVAgQJ6U1MVXOaj8PK2l7WJ3RER9xtqwdhxkhw/edit?usp=sharing"",""ลพบุรี!J191"")"),1.0)</f>
        <v>1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IFERROR(__xludf.DUMMYFUNCTION("IMPORTRANGE(""https://docs.google.com/spreadsheets/d/1SX6NBoVAgQJ6U1MVXOaj8PK2l7WJ3RER9xtqwdhxkhw/edit?usp=sharing"",""ลพบุรี!J192"")"),0.0)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IFERROR(__xludf.DUMMYFUNCTION("IMPORTRANGE(""https://docs.google.com/spreadsheets/d/1SX6NBoVAgQJ6U1MVXOaj8PK2l7WJ3RER9xtqwdhxkhw/edit?usp=sharing"",""ลพบุรี!J193"")"),0.0)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IFERROR(__xludf.DUMMYFUNCTION("IMPORTRANGE(""https://docs.google.com/spreadsheets/d/1SX6NBoVAgQJ6U1MVXOaj8PK2l7WJ3RER9xtqwdhxkhw/edit?usp=sharing"",""ลพบุรี!J194"")"),0.0)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IFERROR(__xludf.DUMMYFUNCTION("IMPORTRANGE(""https://docs.google.com/spreadsheets/d/1SX6NBoVAgQJ6U1MVXOaj8PK2l7WJ3RER9xtqwdhxkhw/edit?usp=sharing"",""ลพบุรี!I195"")"),15.0)</f>
        <v>15</v>
      </c>
      <c r="J285" s="223">
        <f>IFERROR(__xludf.DUMMYFUNCTION("IMPORTRANGE(""https://docs.google.com/spreadsheets/d/1SX6NBoVAgQJ6U1MVXOaj8PK2l7WJ3RER9xtqwdhxkhw/edit?usp=sharing"",""ลพบุรี!J195"")"),0.0)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IFERROR(__xludf.DUMMYFUNCTION("IMPORTRANGE(""https://docs.google.com/spreadsheets/d/1SX6NBoVAgQJ6U1MVXOaj8PK2l7WJ3RER9xtqwdhxkhw/edit?usp=sharing"",""ลพบุรี!J196"")"),0.0)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IFERROR(__xludf.DUMMYFUNCTION("IMPORTRANGE(""https://docs.google.com/spreadsheets/d/1SX6NBoVAgQJ6U1MVXOaj8PK2l7WJ3RER9xtqwdhxkhw/edit?usp=sharing"",""ลพบุรี!J197"")"),0.0)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IFERROR(__xludf.DUMMYFUNCTION("IMPORTRANGE(""https://docs.google.com/spreadsheets/d/1SX6NBoVAgQJ6U1MVXOaj8PK2l7WJ3RER9xtqwdhxkhw/edit?usp=sharing"",""ลพบุรี!I199"")"),0.0)</f>
        <v>0</v>
      </c>
      <c r="J289" s="349">
        <f>IFERROR(__xludf.DUMMYFUNCTION("IMPORTRANGE(""https://docs.google.com/spreadsheets/d/1SX6NBoVAgQJ6U1MVXOaj8PK2l7WJ3RER9xtqwdhxkhw/edit?usp=sharing"",""ลพบุรี!J199"")"),0.0)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IFERROR(__xludf.DUMMYFUNCTION("IMPORTRANGE(""https://docs.google.com/spreadsheets/d/1Yj_ptqi66GCucihVvJfMjLAmec39IyEx_6qawtMGysU/edit?usp=sharing"",""สบก!CT74"")"),0.0)</f>
        <v>0</v>
      </c>
      <c r="N294" s="202">
        <f>IFERROR(__xludf.DUMMYFUNCTION("IMPORTRANGE(""https://docs.google.com/spreadsheets/d/1Yj_ptqi66GCucihVvJfMjLAmec39IyEx_6qawtMGysU/edit?usp=sharing"",""สบก!CU74"")"),0.0)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IFERROR(__xludf.DUMMYFUNCTION("IMPORTRANGE(""https://docs.google.com/spreadsheets/d/1Yj_ptqi66GCucihVvJfMjLAmec39IyEx_6qawtMGysU/edit?usp=sharing"",""สบก!CP74"")"),0.0)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IFERROR(__xludf.DUMMYFUNCTION("IMPORTRANGE(""https://docs.google.com/spreadsheets/d/1Yj_ptqi66GCucihVvJfMjLAmec39IyEx_6qawtMGysU/edit?usp=sharing"",""สบก!CQ74"")"),0.0)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IFERROR(__xludf.DUMMYFUNCTION("IMPORTRANGE(""https://docs.google.com/spreadsheets/d/1Yj_ptqi66GCucihVvJfMjLAmec39IyEx_6qawtMGysU/edit?usp=sharing"",""สบก!CR74"")"),0.0)</f>
        <v>0</v>
      </c>
      <c r="M298" s="125"/>
      <c r="N298" s="115">
        <f>IFERROR(__xludf.DUMMYFUNCTION("IMPORTRANGE(""https://docs.google.com/spreadsheets/d/1Yj_ptqi66GCucihVvJfMjLAmec39IyEx_6qawtMGysU/edit?usp=sharing"",""สบก!CV74"")"),0.0)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IFERROR(__xludf.DUMMYFUNCTION("IMPORTRANGE(""https://docs.google.com/spreadsheets/d/1SX6NBoVAgQJ6U1MVXOaj8PK2l7WJ3RER9xtqwdhxkhw/edit?usp=sharing"",""ลพบุรี!J205"")"),0.0)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IFERROR(__xludf.DUMMYFUNCTION("IMPORTRANGE(""https://docs.google.com/spreadsheets/d/1SX6NBoVAgQJ6U1MVXOaj8PK2l7WJ3RER9xtqwdhxkhw/edit?usp=sharing"",""ลพบุรี!J206"")"),0.0)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IFERROR(__xludf.DUMMYFUNCTION("IMPORTRANGE(""https://docs.google.com/spreadsheets/d/1SX6NBoVAgQJ6U1MVXOaj8PK2l7WJ3RER9xtqwdhxkhw/edit?usp=sharing"",""ลพบุรี!J207"")"),0.0)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IFERROR(__xludf.DUMMYFUNCTION("IMPORTRANGE(""https://docs.google.com/spreadsheets/d/1SX6NBoVAgQJ6U1MVXOaj8PK2l7WJ3RER9xtqwdhxkhw/edit?usp=sharing"",""ลพบุรี!J208"")"),0.0)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IFERROR(__xludf.DUMMYFUNCTION("IMPORTRANGE(""https://docs.google.com/spreadsheets/d/1SX6NBoVAgQJ6U1MVXOaj8PK2l7WJ3RER9xtqwdhxkhw/edit?usp=sharing"",""ลพบุรี!I209"")"),0.0)</f>
        <v>0</v>
      </c>
      <c r="J304" s="238">
        <f>IFERROR(__xludf.DUMMYFUNCTION("IMPORTRANGE(""https://docs.google.com/spreadsheets/d/1SX6NBoVAgQJ6U1MVXOaj8PK2l7WJ3RER9xtqwdhxkhw/edit?usp=sharing"",""ลพบุรี!J209"")"),0.0)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IFERROR(__xludf.DUMMYFUNCTION("IMPORTRANGE(""https://docs.google.com/spreadsheets/d/1SX6NBoVAgQJ6U1MVXOaj8PK2l7WJ3RER9xtqwdhxkhw/edit?usp=sharing"",""ลพบุรี!I211"")"),0.0)</f>
        <v>0</v>
      </c>
      <c r="J306" s="238">
        <f>IFERROR(__xludf.DUMMYFUNCTION("IMPORTRANGE(""https://docs.google.com/spreadsheets/d/1SX6NBoVAgQJ6U1MVXOaj8PK2l7WJ3RER9xtqwdhxkhw/edit?usp=sharing"",""ลพบุรี!J211"")"),0.0)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IFERROR(__xludf.DUMMYFUNCTION("IMPORTRANGE(""https://docs.google.com/spreadsheets/d/1SX6NBoVAgQJ6U1MVXOaj8PK2l7WJ3RER9xtqwdhxkhw/edit?usp=sharing"",""ลพบุรี!J212"")"),0.0)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IFERROR(__xludf.DUMMYFUNCTION("IMPORTRANGE(""https://docs.google.com/spreadsheets/d/1SX6NBoVAgQJ6U1MVXOaj8PK2l7WJ3RER9xtqwdhxkhw/edit?usp=sharing"",""ลพบุรี!J213"")"),0.0)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IFERROR(__xludf.DUMMYFUNCTION("IMPORTRANGE(""https://docs.google.com/spreadsheets/d/1SX6NBoVAgQJ6U1MVXOaj8PK2l7WJ3RER9xtqwdhxkhw/edit?usp=sharing"",""ลพบุรี!I214"")"),0.0)</f>
        <v>0</v>
      </c>
      <c r="J309" s="366">
        <f>IFERROR(__xludf.DUMMYFUNCTION("IMPORTRANGE(""https://docs.google.com/spreadsheets/d/1SX6NBoVAgQJ6U1MVXOaj8PK2l7WJ3RER9xtqwdhxkhw/edit?usp=sharing"",""ลพบุรี!J214"")"),0.0)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IFERROR(__xludf.DUMMYFUNCTION("IMPORTRANGE(""https://docs.google.com/spreadsheets/d/1Yj_ptqi66GCucihVvJfMjLAmec39IyEx_6qawtMGysU/edit?usp=sharing"",""สบก!DC74"")"),0.0)</f>
        <v>0</v>
      </c>
      <c r="N314" s="202">
        <f>IFERROR(__xludf.DUMMYFUNCTION("IMPORTRANGE(""https://docs.google.com/spreadsheets/d/1Yj_ptqi66GCucihVvJfMjLAmec39IyEx_6qawtMGysU/edit?usp=sharing"",""สบก!DD74"")"),0.0)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IFERROR(__xludf.DUMMYFUNCTION("IMPORTRANGE(""https://docs.google.com/spreadsheets/d/1Yj_ptqi66GCucihVvJfMjLAmec39IyEx_6qawtMGysU/edit?usp=sharing"",""สบก!CY74"")"),0.0)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IFERROR(__xludf.DUMMYFUNCTION("IMPORTRANGE(""https://docs.google.com/spreadsheets/d/1Yj_ptqi66GCucihVvJfMjLAmec39IyEx_6qawtMGysU/edit?usp=sharing"",""สบก!CZ74"")"),0.0)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IFERROR(__xludf.DUMMYFUNCTION("IMPORTRANGE(""https://docs.google.com/spreadsheets/d/1Yj_ptqi66GCucihVvJfMjLAmec39IyEx_6qawtMGysU/edit?usp=sharing"",""สบก!DA74"")"),0.0)</f>
        <v>0</v>
      </c>
      <c r="M318" s="125"/>
      <c r="N318" s="115">
        <f>IFERROR(__xludf.DUMMYFUNCTION("IMPORTRANGE(""https://docs.google.com/spreadsheets/d/1Yj_ptqi66GCucihVvJfMjLAmec39IyEx_6qawtMGysU/edit?usp=sharing"",""สบก!DE74"")"),0.0)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IFERROR(__xludf.DUMMYFUNCTION("IMPORTRANGE(""https://docs.google.com/spreadsheets/d/1SX6NBoVAgQJ6U1MVXOaj8PK2l7WJ3RER9xtqwdhxkhw/edit?usp=sharing"",""ลพบุรี!J220"")"),0.0)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IFERROR(__xludf.DUMMYFUNCTION("IMPORTRANGE(""https://docs.google.com/spreadsheets/d/1SX6NBoVAgQJ6U1MVXOaj8PK2l7WJ3RER9xtqwdhxkhw/edit?usp=sharing"",""ลพบุรี!J221"")"),0.0)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IFERROR(__xludf.DUMMYFUNCTION("IMPORTRANGE(""https://docs.google.com/spreadsheets/d/1SX6NBoVAgQJ6U1MVXOaj8PK2l7WJ3RER9xtqwdhxkhw/edit?usp=sharing"",""ลพบุรี!J222"")"),0.0)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IFERROR(__xludf.DUMMYFUNCTION("IMPORTRANGE(""https://docs.google.com/spreadsheets/d/1SX6NBoVAgQJ6U1MVXOaj8PK2l7WJ3RER9xtqwdhxkhw/edit?usp=sharing"",""ลพบุรี!J223"")"),0.0)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IFERROR(__xludf.DUMMYFUNCTION("IMPORTRANGE(""https://docs.google.com/spreadsheets/d/1SX6NBoVAgQJ6U1MVXOaj8PK2l7WJ3RER9xtqwdhxkhw/edit?usp=sharing"",""ลพบุรี!I224"")"),0.0)</f>
        <v>0</v>
      </c>
      <c r="J324" s="238">
        <f>IFERROR(__xludf.DUMMYFUNCTION("IMPORTRANGE(""https://docs.google.com/spreadsheets/d/1SX6NBoVAgQJ6U1MVXOaj8PK2l7WJ3RER9xtqwdhxkhw/edit?usp=sharing"",""ลพบุรี!J224"")"),0.0)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IFERROR(__xludf.DUMMYFUNCTION("IMPORTRANGE(""https://docs.google.com/spreadsheets/d/1SX6NBoVAgQJ6U1MVXOaj8PK2l7WJ3RER9xtqwdhxkhw/edit?usp=sharing"",""ลพบุรี!J225"")"),0.0)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IFERROR(__xludf.DUMMYFUNCTION("IMPORTRANGE(""https://docs.google.com/spreadsheets/d/1SX6NBoVAgQJ6U1MVXOaj8PK2l7WJ3RER9xtqwdhxkhw/edit?usp=sharing"",""ลพบุรี!J226"")"),0.0)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IFERROR(__xludf.DUMMYFUNCTION("IMPORTRANGE(""https://docs.google.com/spreadsheets/d/1SX6NBoVAgQJ6U1MVXOaj8PK2l7WJ3RER9xtqwdhxkhw/edit?usp=sharing"",""ลพบุรี!I228"")"),170.0)</f>
        <v>170</v>
      </c>
      <c r="J328" s="372">
        <f>IFERROR(__xludf.DUMMYFUNCTION("IMPORTRANGE(""https://docs.google.com/spreadsheets/d/1SX6NBoVAgQJ6U1MVXOaj8PK2l7WJ3RER9xtqwdhxkhw/edit?usp=sharing"",""ลพบุรี!J228"")"),10.0)</f>
        <v>10</v>
      </c>
      <c r="K328" s="350">
        <f>IF(I328&gt;0,J328*100/I328,0)</f>
        <v>5.882352941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960550</v>
      </c>
      <c r="M329" s="183">
        <f t="shared" si="99"/>
        <v>529180</v>
      </c>
      <c r="N329" s="183">
        <f t="shared" si="99"/>
        <v>207710</v>
      </c>
      <c r="O329" s="182">
        <f t="shared" ref="O329:O331" si="101">IF(L329&gt;0,N329*100/L329,0)</f>
        <v>21.62406954</v>
      </c>
      <c r="P329" s="182">
        <f t="shared" ref="P329:P331" si="102">IF(M329&gt;0,N329*100/M329,0)</f>
        <v>39.25129446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960550</v>
      </c>
      <c r="M331" s="188">
        <f t="shared" si="103"/>
        <v>529180</v>
      </c>
      <c r="N331" s="188">
        <f t="shared" si="103"/>
        <v>207710</v>
      </c>
      <c r="O331" s="187">
        <f t="shared" si="101"/>
        <v>21.62406954</v>
      </c>
      <c r="P331" s="187">
        <f t="shared" si="102"/>
        <v>39.25129446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960550</v>
      </c>
      <c r="M333" s="201">
        <f>IFERROR(__xludf.DUMMYFUNCTION("IMPORTRANGE(""https://docs.google.com/spreadsheets/d/1Yj_ptqi66GCucihVvJfMjLAmec39IyEx_6qawtMGysU/edit?usp=sharing"",""สบก!DL74"")"),529180.0)</f>
        <v>529180</v>
      </c>
      <c r="N333" s="202">
        <f>IFERROR(__xludf.DUMMYFUNCTION("IMPORTRANGE(""https://docs.google.com/spreadsheets/d/1Yj_ptqi66GCucihVvJfMjLAmec39IyEx_6qawtMGysU/edit?usp=sharing"",""สบก!DM74"")"),207710.0)</f>
        <v>207710</v>
      </c>
      <c r="O333" s="203">
        <f>IF(L333&gt;0,N333*100/L333,0)</f>
        <v>21.62406954</v>
      </c>
      <c r="P333" s="203">
        <f>IF(M333&gt;0,N333*100/M333,0)</f>
        <v>39.25129446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IFERROR(__xludf.DUMMYFUNCTION("IMPORTRANGE(""https://docs.google.com/spreadsheets/d/1Yj_ptqi66GCucihVvJfMjLAmec39IyEx_6qawtMGysU/edit?usp=sharing"",""สบก!DH74"")"),500400.0)</f>
        <v>500400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IFERROR(__xludf.DUMMYFUNCTION("IMPORTRANGE(""https://docs.google.com/spreadsheets/d/1Yj_ptqi66GCucihVvJfMjLAmec39IyEx_6qawtMGysU/edit?usp=sharing"",""สบก!DI74"")"),460150.0)</f>
        <v>460150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IFERROR(__xludf.DUMMYFUNCTION("IMPORTRANGE(""https://docs.google.com/spreadsheets/d/1Yj_ptqi66GCucihVvJfMjLAmec39IyEx_6qawtMGysU/edit?usp=sharing"",""สบก!DJ74"")"),0.0)</f>
        <v>0</v>
      </c>
      <c r="M337" s="125"/>
      <c r="N337" s="115">
        <f>IFERROR(__xludf.DUMMYFUNCTION("IMPORTRANGE(""https://docs.google.com/spreadsheets/d/1Yj_ptqi66GCucihVvJfMjLAmec39IyEx_6qawtMGysU/edit?usp=sharing"",""สบก!DN74"")"),0.0)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IFERROR(__xludf.DUMMYFUNCTION("IMPORTRANGE(""https://docs.google.com/spreadsheets/d/1SX6NBoVAgQJ6U1MVXOaj8PK2l7WJ3RER9xtqwdhxkhw/edit?usp=sharing"",""ลพบุรี!I234"")"),0.0)</f>
        <v>0</v>
      </c>
      <c r="J339" s="222">
        <f>IFERROR(__xludf.DUMMYFUNCTION("IMPORTRANGE(""https://docs.google.com/spreadsheets/d/1SX6NBoVAgQJ6U1MVXOaj8PK2l7WJ3RER9xtqwdhxkhw/edit?usp=sharing"",""ลพบุรี!J234"")"),88.0)</f>
        <v>88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IFERROR(__xludf.DUMMYFUNCTION("IMPORTRANGE(""https://docs.google.com/spreadsheets/d/1SX6NBoVAgQJ6U1MVXOaj8PK2l7WJ3RER9xtqwdhxkhw/edit?usp=sharing"",""ลพบุรี!I235"")"),3250.0)</f>
        <v>3250</v>
      </c>
      <c r="J340" s="222">
        <f>IFERROR(__xludf.DUMMYFUNCTION("IMPORTRANGE(""https://docs.google.com/spreadsheets/d/1SX6NBoVAgQJ6U1MVXOaj8PK2l7WJ3RER9xtqwdhxkhw/edit?usp=sharing"",""ลพบุรี!J235"")"),943.98)</f>
        <v>943.98</v>
      </c>
      <c r="K340" s="375">
        <f t="shared" si="104"/>
        <v>29.04553846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IFERROR(__xludf.DUMMYFUNCTION("IMPORTRANGE(""https://docs.google.com/spreadsheets/d/1SX6NBoVAgQJ6U1MVXOaj8PK2l7WJ3RER9xtqwdhxkhw/edit?usp=sharing"",""ลพบุรี!I236"")"),170.0)</f>
        <v>170</v>
      </c>
      <c r="J341" s="222">
        <f>IFERROR(__xludf.DUMMYFUNCTION("IMPORTRANGE(""https://docs.google.com/spreadsheets/d/1SX6NBoVAgQJ6U1MVXOaj8PK2l7WJ3RER9xtqwdhxkhw/edit?usp=sharing"",""ลพบุรี!J236"")"),96.0)</f>
        <v>96</v>
      </c>
      <c r="K341" s="375">
        <f t="shared" si="104"/>
        <v>56.47058824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IFERROR(__xludf.DUMMYFUNCTION("IMPORTRANGE(""https://docs.google.com/spreadsheets/d/1SX6NBoVAgQJ6U1MVXOaj8PK2l7WJ3RER9xtqwdhxkhw/edit?usp=sharing"",""ลพบุรี!I237"")"),0.0)</f>
        <v>0</v>
      </c>
      <c r="J342" s="222">
        <f>IFERROR(__xludf.DUMMYFUNCTION("IMPORTRANGE(""https://docs.google.com/spreadsheets/d/1SX6NBoVAgQJ6U1MVXOaj8PK2l7WJ3RER9xtqwdhxkhw/edit?usp=sharing"",""ลพบุรี!J237"")"),1117.1)</f>
        <v>1117.1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IFERROR(__xludf.DUMMYFUNCTION("IMPORTRANGE(""https://docs.google.com/spreadsheets/d/1SX6NBoVAgQJ6U1MVXOaj8PK2l7WJ3RER9xtqwdhxkhw/edit?usp=sharing"",""ลพบุรี!I238"")"),170.0)</f>
        <v>170</v>
      </c>
      <c r="J343" s="222">
        <f>IFERROR(__xludf.DUMMYFUNCTION("IMPORTRANGE(""https://docs.google.com/spreadsheets/d/1SX6NBoVAgQJ6U1MVXOaj8PK2l7WJ3RER9xtqwdhxkhw/edit?usp=sharing"",""ลพบุรี!J238"")"),0.0)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IFERROR(__xludf.DUMMYFUNCTION("IMPORTRANGE(""https://docs.google.com/spreadsheets/d/1SX6NBoVAgQJ6U1MVXOaj8PK2l7WJ3RER9xtqwdhxkhw/edit?usp=sharing"",""ลพบุรี!I239"")"),0.0)</f>
        <v>0</v>
      </c>
      <c r="J344" s="222">
        <f>IFERROR(__xludf.DUMMYFUNCTION("IMPORTRANGE(""https://docs.google.com/spreadsheets/d/1SX6NBoVAgQJ6U1MVXOaj8PK2l7WJ3RER9xtqwdhxkhw/edit?usp=sharing"",""ลพบุรี!J239"")"),0.0)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IFERROR(__xludf.DUMMYFUNCTION("IMPORTRANGE(""https://docs.google.com/spreadsheets/d/1SX6NBoVAgQJ6U1MVXOaj8PK2l7WJ3RER9xtqwdhxkhw/edit?usp=sharing"",""ลพบุรี!I240"")"),170.0)</f>
        <v>170</v>
      </c>
      <c r="J345" s="222">
        <f>IFERROR(__xludf.DUMMYFUNCTION("IMPORTRANGE(""https://docs.google.com/spreadsheets/d/1SX6NBoVAgQJ6U1MVXOaj8PK2l7WJ3RER9xtqwdhxkhw/edit?usp=sharing"",""ลพบุรี!J240"")"),10.0)</f>
        <v>10</v>
      </c>
      <c r="K345" s="375">
        <f t="shared" si="104"/>
        <v>5.882352941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IFERROR(__xludf.DUMMYFUNCTION("IMPORTRANGE(""https://docs.google.com/spreadsheets/d/1SX6NBoVAgQJ6U1MVXOaj8PK2l7WJ3RER9xtqwdhxkhw/edit?usp=sharing"",""ลพบุรี!I241"")"),0.0)</f>
        <v>0</v>
      </c>
      <c r="J346" s="222">
        <f>IFERROR(__xludf.DUMMYFUNCTION("IMPORTRANGE(""https://docs.google.com/spreadsheets/d/1SX6NBoVAgQJ6U1MVXOaj8PK2l7WJ3RER9xtqwdhxkhw/edit?usp=sharing"",""ลพบุรี!J241"")"),137.55)</f>
        <v>137.55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IFERROR(__xludf.DUMMYFUNCTION("IMPORTRANGE(""https://docs.google.com/spreadsheets/d/1SX6NBoVAgQJ6U1MVXOaj8PK2l7WJ3RER9xtqwdhxkhw/edit?usp=sharing"",""ลพบุรี!L242"")"),2550401.0)</f>
        <v>2550401</v>
      </c>
      <c r="M347" s="391"/>
      <c r="N347" s="391">
        <f>IFERROR(__xludf.DUMMYFUNCTION("IMPORTRANGE(""https://docs.google.com/spreadsheets/d/1SX6NBoVAgQJ6U1MVXOaj8PK2l7WJ3RER9xtqwdhxkhw/edit?usp=sharing"",""ลพบุรี!M242"")"),365308.0)</f>
        <v>365308</v>
      </c>
      <c r="O347" s="391">
        <f>+IF(L347&gt;0,N347*100/L347,0)</f>
        <v>14.32355147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IFERROR(__xludf.DUMMYFUNCTION("IMPORTRANGE(""https://docs.google.com/spreadsheets/d/1SX6NBoVAgQJ6U1MVXOaj8PK2l7WJ3RER9xtqwdhxkhw/edit?usp=sharing"",""ลพบุรี!I244"")"),60.0)</f>
        <v>60</v>
      </c>
      <c r="J349" s="404">
        <f>IFERROR(__xludf.DUMMYFUNCTION("IMPORTRANGE(""https://docs.google.com/spreadsheets/d/1SX6NBoVAgQJ6U1MVXOaj8PK2l7WJ3RER9xtqwdhxkhw/edit?usp=sharing"",""ลพบุรี!J244"")"),0.0)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IFERROR(__xludf.DUMMYFUNCTION("IMPORTRANGE(""https://docs.google.com/spreadsheets/d/1SX6NBoVAgQJ6U1MVXOaj8PK2l7WJ3RER9xtqwdhxkhw/edit?usp=sharing"",""ลพบุรี!L244"")"),289160.0)</f>
        <v>289160</v>
      </c>
      <c r="M349" s="406"/>
      <c r="N349" s="406">
        <f>IFERROR(__xludf.DUMMYFUNCTION("IMPORTRANGE(""https://docs.google.com/spreadsheets/d/1SX6NBoVAgQJ6U1MVXOaj8PK2l7WJ3RER9xtqwdhxkhw/edit?usp=sharing"",""ลพบุรี!M244"")"),55328.0)</f>
        <v>55328</v>
      </c>
      <c r="O349" s="406">
        <f>+IF(L349&gt;0,N349*100/L349,0)</f>
        <v>19.13404344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IFERROR(__xludf.DUMMYFUNCTION("IMPORTRANGE(""https://docs.google.com/spreadsheets/d/1SX6NBoVAgQJ6U1MVXOaj8PK2l7WJ3RER9xtqwdhxkhw/edit?usp=sharing"",""ลพบุรี!I245"")"),40.0)</f>
        <v>40</v>
      </c>
      <c r="J350" s="404">
        <f>IFERROR(__xludf.DUMMYFUNCTION("IMPORTRANGE(""https://docs.google.com/spreadsheets/d/1SX6NBoVAgQJ6U1MVXOaj8PK2l7WJ3RER9xtqwdhxkhw/edit?usp=sharing"",""ลพบุรี!J245"")"),0.0)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IFERROR(__xludf.DUMMYFUNCTION("IMPORTRANGE(""https://docs.google.com/spreadsheets/d/1SX6NBoVAgQJ6U1MVXOaj8PK2l7WJ3RER9xtqwdhxkhw/edit?usp=sharing"",""ลพบุรี!L246"")"),0.0)</f>
        <v>0</v>
      </c>
      <c r="M351" s="197"/>
      <c r="N351" s="197">
        <f>IFERROR(__xludf.DUMMYFUNCTION("IMPORTRANGE(""https://docs.google.com/spreadsheets/d/1SX6NBoVAgQJ6U1MVXOaj8PK2l7WJ3RER9xtqwdhxkhw/edit?usp=sharing"",""ลพบุรี!M246"")"),0.0)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IFERROR(__xludf.DUMMYFUNCTION("IMPORTRANGE(""https://docs.google.com/spreadsheets/d/1SX6NBoVAgQJ6U1MVXOaj8PK2l7WJ3RER9xtqwdhxkhw/edit?usp=sharing"",""ลพบุรี!L247"")"),289160.0)</f>
        <v>289160</v>
      </c>
      <c r="M352" s="198"/>
      <c r="N352" s="197">
        <f>IFERROR(__xludf.DUMMYFUNCTION("IMPORTRANGE(""https://docs.google.com/spreadsheets/d/1SX6NBoVAgQJ6U1MVXOaj8PK2l7WJ3RER9xtqwdhxkhw/edit?usp=sharing"",""ลพบุรี!M247"")"),55328.0)</f>
        <v>55328</v>
      </c>
      <c r="O352" s="198">
        <f t="shared" si="106"/>
        <v>19.13404344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IFERROR(__xludf.DUMMYFUNCTION("IMPORTRANGE(""https://docs.google.com/spreadsheets/d/1SX6NBoVAgQJ6U1MVXOaj8PK2l7WJ3RER9xtqwdhxkhw/edit?usp=sharing"",""ลพบุรี!L248"")"),0.0)</f>
        <v>0</v>
      </c>
      <c r="M353" s="203"/>
      <c r="N353" s="203">
        <f>IFERROR(__xludf.DUMMYFUNCTION("IMPORTRANGE(""https://docs.google.com/spreadsheets/d/1SX6NBoVAgQJ6U1MVXOaj8PK2l7WJ3RER9xtqwdhxkhw/edit?usp=sharing"",""ลพบุรี!M248"")"),0.0)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IFERROR(__xludf.DUMMYFUNCTION("IMPORTRANGE(""https://docs.google.com/spreadsheets/d/1SX6NBoVAgQJ6U1MVXOaj8PK2l7WJ3RER9xtqwdhxkhw/edit?usp=sharing"",""ลพบุรี!L249"")"),289160.0)</f>
        <v>289160</v>
      </c>
      <c r="M354" s="203"/>
      <c r="N354" s="200">
        <f>IFERROR(__xludf.DUMMYFUNCTION("IMPORTRANGE(""https://docs.google.com/spreadsheets/d/1SX6NBoVAgQJ6U1MVXOaj8PK2l7WJ3RER9xtqwdhxkhw/edit?usp=sharing"",""ลพบุรี!M249"")"),55328.0)</f>
        <v>55328</v>
      </c>
      <c r="O354" s="203">
        <f t="shared" si="106"/>
        <v>19.13404344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IFERROR(__xludf.DUMMYFUNCTION("IMPORTRANGE(""https://docs.google.com/spreadsheets/d/1SX6NBoVAgQJ6U1MVXOaj8PK2l7WJ3RER9xtqwdhxkhw/edit?usp=sharing"",""ลพบุรี!M250"")"),13888.0)</f>
        <v>13888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IFERROR(__xludf.DUMMYFUNCTION("IMPORTRANGE(""https://docs.google.com/spreadsheets/d/1SX6NBoVAgQJ6U1MVXOaj8PK2l7WJ3RER9xtqwdhxkhw/edit?usp=sharing"",""ลพบุรี!M251"")"),0.0)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IFERROR(__xludf.DUMMYFUNCTION("IMPORTRANGE(""https://docs.google.com/spreadsheets/d/1SX6NBoVAgQJ6U1MVXOaj8PK2l7WJ3RER9xtqwdhxkhw/edit?usp=sharing"",""ลพบุรี!M252"")"),30160.0)</f>
        <v>30160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IFERROR(__xludf.DUMMYFUNCTION("IMPORTRANGE(""https://docs.google.com/spreadsheets/d/1SX6NBoVAgQJ6U1MVXOaj8PK2l7WJ3RER9xtqwdhxkhw/edit?usp=sharing"",""ลพบุรี!M253"")"),11280.0)</f>
        <v>11280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IFERROR(__xludf.DUMMYFUNCTION("IMPORTRANGE(""https://docs.google.com/spreadsheets/d/1SX6NBoVAgQJ6U1MVXOaj8PK2l7WJ3RER9xtqwdhxkhw/edit?usp=sharing"",""ลพบุรี!J255"")"),0.0)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IFERROR(__xludf.DUMMYFUNCTION("IMPORTRANGE(""https://docs.google.com/spreadsheets/d/1SX6NBoVAgQJ6U1MVXOaj8PK2l7WJ3RER9xtqwdhxkhw/edit?usp=sharing"",""ลพบุรี!J256"")"),1.0)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IFERROR(__xludf.DUMMYFUNCTION("IMPORTRANGE(""https://docs.google.com/spreadsheets/d/1SX6NBoVAgQJ6U1MVXOaj8PK2l7WJ3RER9xtqwdhxkhw/edit?usp=sharing"",""ลพบุรี!J257"")"),1.0)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IFERROR(__xludf.DUMMYFUNCTION("IMPORTRANGE(""https://docs.google.com/spreadsheets/d/1SX6NBoVAgQJ6U1MVXOaj8PK2l7WJ3RER9xtqwdhxkhw/edit?usp=sharing"",""ลพบุรี!J258"")"),1.0)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IFERROR(__xludf.DUMMYFUNCTION("IMPORTRANGE(""https://docs.google.com/spreadsheets/d/1SX6NBoVAgQJ6U1MVXOaj8PK2l7WJ3RER9xtqwdhxkhw/edit?usp=sharing"",""ลพบุรี!J166"")"),0.0)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IFERROR(__xludf.DUMMYFUNCTION("IMPORTRANGE(""https://docs.google.com/spreadsheets/d/1SX6NBoVAgQJ6U1MVXOaj8PK2l7WJ3RER9xtqwdhxkhw/edit?usp=sharing"",""ลพบุรี!J166"")"),0.0)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IFERROR(__xludf.DUMMYFUNCTION("IMPORTRANGE(""https://docs.google.com/spreadsheets/d/1SX6NBoVAgQJ6U1MVXOaj8PK2l7WJ3RER9xtqwdhxkhw/edit?usp=sharing"",""ลพบุรี!J166"")"),0.0)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IFERROR(__xludf.DUMMYFUNCTION("IMPORTRANGE(""https://docs.google.com/spreadsheets/d/1SX6NBoVAgQJ6U1MVXOaj8PK2l7WJ3RER9xtqwdhxkhw/edit?usp=sharing"",""ลพบุรี!J166"")"),0.0)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IFERROR(__xludf.DUMMYFUNCTION("IMPORTRANGE(""https://docs.google.com/spreadsheets/d/1SX6NBoVAgQJ6U1MVXOaj8PK2l7WJ3RER9xtqwdhxkhw/edit?usp=sharing"",""ลพบุรี!I263"")"),40.0)</f>
        <v>40</v>
      </c>
      <c r="J368" s="222">
        <f>IFERROR(__xludf.DUMMYFUNCTION("IMPORTRANGE(""https://docs.google.com/spreadsheets/d/1SX6NBoVAgQJ6U1MVXOaj8PK2l7WJ3RER9xtqwdhxkhw/edit?usp=sharing"",""ลพบุรี!J263"")"),0.0)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IFERROR(__xludf.DUMMYFUNCTION("IMPORTRANGE(""https://docs.google.com/spreadsheets/d/1SX6NBoVAgQJ6U1MVXOaj8PK2l7WJ3RER9xtqwdhxkhw/edit?usp=sharing"",""ลพบุรี!I164"")"),0.0)</f>
        <v>0</v>
      </c>
      <c r="J369" s="238">
        <f>IFERROR(__xludf.DUMMYFUNCTION("IMPORTRANGE(""https://docs.google.com/spreadsheets/d/1SX6NBoVAgQJ6U1MVXOaj8PK2l7WJ3RER9xtqwdhxkhw/edit?usp=sharing"",""ลพบุรี!J164"")"),0.0)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IFERROR(__xludf.DUMMYFUNCTION("IMPORTRANGE(""https://docs.google.com/spreadsheets/d/1SX6NBoVAgQJ6U1MVXOaj8PK2l7WJ3RER9xtqwdhxkhw/edit?usp=sharing"",""ลพบุรี!I265"")"),40.0)</f>
        <v>40</v>
      </c>
      <c r="J370" s="238">
        <f>IFERROR(__xludf.DUMMYFUNCTION("IMPORTRANGE(""https://docs.google.com/spreadsheets/d/1SX6NBoVAgQJ6U1MVXOaj8PK2l7WJ3RER9xtqwdhxkhw/edit?usp=sharing"",""ลพบุรี!J265"")"),20.0)</f>
        <v>20</v>
      </c>
      <c r="K370" s="196">
        <f t="shared" si="107"/>
        <v>50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IFERROR(__xludf.DUMMYFUNCTION("IMPORTRANGE(""https://docs.google.com/spreadsheets/d/1SX6NBoVAgQJ6U1MVXOaj8PK2l7WJ3RER9xtqwdhxkhw/edit?usp=sharing"",""ลพบุรี!I164"")"),0.0)</f>
        <v>0</v>
      </c>
      <c r="J371" s="223">
        <f>IFERROR(__xludf.DUMMYFUNCTION("IMPORTRANGE(""https://docs.google.com/spreadsheets/d/1SX6NBoVAgQJ6U1MVXOaj8PK2l7WJ3RER9xtqwdhxkhw/edit?usp=sharing"",""ลพบุรี!J164"")"),0.0)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IFERROR(__xludf.DUMMYFUNCTION("IMPORTRANGE(""https://docs.google.com/spreadsheets/d/1SX6NBoVAgQJ6U1MVXOaj8PK2l7WJ3RER9xtqwdhxkhw/edit?usp=sharing"",""ลพบุรี!I267"")"),40.0)</f>
        <v>40</v>
      </c>
      <c r="J372" s="223">
        <f>IFERROR(__xludf.DUMMYFUNCTION("IMPORTRANGE(""https://docs.google.com/spreadsheets/d/1SX6NBoVAgQJ6U1MVXOaj8PK2l7WJ3RER9xtqwdhxkhw/edit?usp=sharing"",""ลพบุรี!J267"")"),0.0)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IFERROR(__xludf.DUMMYFUNCTION("IMPORTRANGE(""https://docs.google.com/spreadsheets/d/1SX6NBoVAgQJ6U1MVXOaj8PK2l7WJ3RER9xtqwdhxkhw/edit?usp=sharing"",""ลพบุรี!I164"")"),0.0)</f>
        <v>0</v>
      </c>
      <c r="J373" s="238">
        <f>IFERROR(__xludf.DUMMYFUNCTION("IMPORTRANGE(""https://docs.google.com/spreadsheets/d/1SX6NBoVAgQJ6U1MVXOaj8PK2l7WJ3RER9xtqwdhxkhw/edit?usp=sharing"",""ลพบุรี!J164"")"),0.0)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IFERROR(__xludf.DUMMYFUNCTION("IMPORTRANGE(""https://docs.google.com/spreadsheets/d/1SX6NBoVAgQJ6U1MVXOaj8PK2l7WJ3RER9xtqwdhxkhw/edit?usp=sharing"",""ลพบุรี!I164"")"),0.0)</f>
        <v>0</v>
      </c>
      <c r="J374" s="222">
        <f>IFERROR(__xludf.DUMMYFUNCTION("IMPORTRANGE(""https://docs.google.com/spreadsheets/d/1SX6NBoVAgQJ6U1MVXOaj8PK2l7WJ3RER9xtqwdhxkhw/edit?usp=sharing"",""ลพบุรี!J164"")"),0.0)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IFERROR(__xludf.DUMMYFUNCTION("IMPORTRANGE(""https://docs.google.com/spreadsheets/d/1SX6NBoVAgQJ6U1MVXOaj8PK2l7WJ3RER9xtqwdhxkhw/edit?usp=sharing"",""ลพบุรี!I270"")"),60.0)</f>
        <v>60</v>
      </c>
      <c r="J375" s="222">
        <f>IFERROR(__xludf.DUMMYFUNCTION("IMPORTRANGE(""https://docs.google.com/spreadsheets/d/1SX6NBoVAgQJ6U1MVXOaj8PK2l7WJ3RER9xtqwdhxkhw/edit?usp=sharing"",""ลพบุรี!J270"")"),0.0)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IFERROR(__xludf.DUMMYFUNCTION("IMPORTRANGE(""https://docs.google.com/spreadsheets/d/1SX6NBoVAgQJ6U1MVXOaj8PK2l7WJ3RER9xtqwdhxkhw/edit?usp=sharing"",""ลพบุรี!I271"")"),30.0)</f>
        <v>30</v>
      </c>
      <c r="J376" s="223">
        <f>IFERROR(__xludf.DUMMYFUNCTION("IMPORTRANGE(""https://docs.google.com/spreadsheets/d/1SX6NBoVAgQJ6U1MVXOaj8PK2l7WJ3RER9xtqwdhxkhw/edit?usp=sharing"",""ลพบุรี!J271"")"),0.0)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IFERROR(__xludf.DUMMYFUNCTION("IMPORTRANGE(""https://docs.google.com/spreadsheets/d/1SX6NBoVAgQJ6U1MVXOaj8PK2l7WJ3RER9xtqwdhxkhw/edit?usp=sharing"",""ลพบุรี!I272"")"),30.0)</f>
        <v>30</v>
      </c>
      <c r="J377" s="238">
        <f>IFERROR(__xludf.DUMMYFUNCTION("IMPORTRANGE(""https://docs.google.com/spreadsheets/d/1SX6NBoVAgQJ6U1MVXOaj8PK2l7WJ3RER9xtqwdhxkhw/edit?usp=sharing"",""ลพบุรี!J272"")"),0.0)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IFERROR(__xludf.DUMMYFUNCTION("IMPORTRANGE(""https://docs.google.com/spreadsheets/d/1SX6NBoVAgQJ6U1MVXOaj8PK2l7WJ3RER9xtqwdhxkhw/edit?usp=sharing"",""ลพบุรี!J273"")"),0.0)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IFERROR(__xludf.DUMMYFUNCTION("IMPORTRANGE(""https://docs.google.com/spreadsheets/d/1SX6NBoVAgQJ6U1MVXOaj8PK2l7WJ3RER9xtqwdhxkhw/edit?usp=sharing"",""ลพบุรี!J274"")"),0.0)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IFERROR(__xludf.DUMMYFUNCTION("IMPORTRANGE(""https://docs.google.com/spreadsheets/d/1SX6NBoVAgQJ6U1MVXOaj8PK2l7WJ3RER9xtqwdhxkhw/edit?usp=sharing"",""ลพบุรี!I275"")"),1000.0)</f>
        <v>1000</v>
      </c>
      <c r="J380" s="404">
        <f>IFERROR(__xludf.DUMMYFUNCTION("IMPORTRANGE(""https://docs.google.com/spreadsheets/d/1SX6NBoVAgQJ6U1MVXOaj8PK2l7WJ3RER9xtqwdhxkhw/edit?usp=sharing"",""ลพบุรี!J275"")"),0.0)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IFERROR(__xludf.DUMMYFUNCTION("IMPORTRANGE(""https://docs.google.com/spreadsheets/d/1SX6NBoVAgQJ6U1MVXOaj8PK2l7WJ3RER9xtqwdhxkhw/edit?usp=sharing"",""ลพบุรี!L275"")"),1028520.0)</f>
        <v>1028520</v>
      </c>
      <c r="M380" s="406"/>
      <c r="N380" s="406">
        <f>IFERROR(__xludf.DUMMYFUNCTION("IMPORTRANGE(""https://docs.google.com/spreadsheets/d/1SX6NBoVAgQJ6U1MVXOaj8PK2l7WJ3RER9xtqwdhxkhw/edit?usp=sharing"",""ลพบุรี!M275"")"),232240.0)</f>
        <v>232240</v>
      </c>
      <c r="O380" s="406">
        <f>+IF(L380&gt;0,N380*100/L380,0)</f>
        <v>22.58001789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IFERROR(__xludf.DUMMYFUNCTION("IMPORTRANGE(""https://docs.google.com/spreadsheets/d/1SX6NBoVAgQJ6U1MVXOaj8PK2l7WJ3RER9xtqwdhxkhw/edit?usp=sharing"",""ลพบุรี!I276"")"),100.0)</f>
        <v>100</v>
      </c>
      <c r="J381" s="404">
        <f>IFERROR(__xludf.DUMMYFUNCTION("IMPORTRANGE(""https://docs.google.com/spreadsheets/d/1SX6NBoVAgQJ6U1MVXOaj8PK2l7WJ3RER9xtqwdhxkhw/edit?usp=sharing"",""ลพบุรี!J276"")"),100.0)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IFERROR(__xludf.DUMMYFUNCTION("IMPORTRANGE(""https://docs.google.com/spreadsheets/d/1SX6NBoVAgQJ6U1MVXOaj8PK2l7WJ3RER9xtqwdhxkhw/edit?usp=sharing"",""ลพบุรี!L277"")"),0.0)</f>
        <v>0</v>
      </c>
      <c r="M382" s="197"/>
      <c r="N382" s="197">
        <f>IFERROR(__xludf.DUMMYFUNCTION("IMPORTRANGE(""https://docs.google.com/spreadsheets/d/1SX6NBoVAgQJ6U1MVXOaj8PK2l7WJ3RER9xtqwdhxkhw/edit?usp=sharing"",""ลพบุรี!M277"")"),0.0)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IFERROR(__xludf.DUMMYFUNCTION("IMPORTRANGE(""https://docs.google.com/spreadsheets/d/1SX6NBoVAgQJ6U1MVXOaj8PK2l7WJ3RER9xtqwdhxkhw/edit?usp=sharing"",""ลพบุรี!L278"")"),1028520.0)</f>
        <v>1028520</v>
      </c>
      <c r="M383" s="198"/>
      <c r="N383" s="198">
        <f>IFERROR(__xludf.DUMMYFUNCTION("IMPORTRANGE(""https://docs.google.com/spreadsheets/d/1SX6NBoVAgQJ6U1MVXOaj8PK2l7WJ3RER9xtqwdhxkhw/edit?usp=sharing"",""ลพบุรี!M278"")"),232240.0)</f>
        <v>232240</v>
      </c>
      <c r="O383" s="198">
        <f t="shared" si="110"/>
        <v>22.58001789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IFERROR(__xludf.DUMMYFUNCTION("IMPORTRANGE(""https://docs.google.com/spreadsheets/d/1SX6NBoVAgQJ6U1MVXOaj8PK2l7WJ3RER9xtqwdhxkhw/edit?usp=sharing"",""ลพบุรี!L279"")"),0.0)</f>
        <v>0</v>
      </c>
      <c r="M384" s="203"/>
      <c r="N384" s="203">
        <f>IFERROR(__xludf.DUMMYFUNCTION("IMPORTRANGE(""https://docs.google.com/spreadsheets/d/1SX6NBoVAgQJ6U1MVXOaj8PK2l7WJ3RER9xtqwdhxkhw/edit?usp=sharing"",""ลพบุรี!M279"")"),0.0)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IFERROR(__xludf.DUMMYFUNCTION("IMPORTRANGE(""https://docs.google.com/spreadsheets/d/1SX6NBoVAgQJ6U1MVXOaj8PK2l7WJ3RER9xtqwdhxkhw/edit?usp=sharing"",""ลพบุรี!L280"")"),1028520.0)</f>
        <v>1028520</v>
      </c>
      <c r="M385" s="203"/>
      <c r="N385" s="200">
        <f>IFERROR(__xludf.DUMMYFUNCTION("IMPORTRANGE(""https://docs.google.com/spreadsheets/d/1SX6NBoVAgQJ6U1MVXOaj8PK2l7WJ3RER9xtqwdhxkhw/edit?usp=sharing"",""ลพบุรี!M280"")"),232240.0)</f>
        <v>232240</v>
      </c>
      <c r="O385" s="203">
        <f t="shared" si="110"/>
        <v>22.58001789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IFERROR(__xludf.DUMMYFUNCTION("IMPORTRANGE(""https://docs.google.com/spreadsheets/d/1SX6NBoVAgQJ6U1MVXOaj8PK2l7WJ3RER9xtqwdhxkhw/edit?usp=sharing"",""ลพบุรี!M281"")"),197500.0)</f>
        <v>197500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IFERROR(__xludf.DUMMYFUNCTION("IMPORTRANGE(""https://docs.google.com/spreadsheets/d/1SX6NBoVAgQJ6U1MVXOaj8PK2l7WJ3RER9xtqwdhxkhw/edit?usp=sharing"",""ลพบุรี!M282"")"),0.0)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IFERROR(__xludf.DUMMYFUNCTION("IMPORTRANGE(""https://docs.google.com/spreadsheets/d/1SX6NBoVAgQJ6U1MVXOaj8PK2l7WJ3RER9xtqwdhxkhw/edit?usp=sharing"",""ลพบุรี!M283"")"),33000.0)</f>
        <v>33000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IFERROR(__xludf.DUMMYFUNCTION("IMPORTRANGE(""https://docs.google.com/spreadsheets/d/1SX6NBoVAgQJ6U1MVXOaj8PK2l7WJ3RER9xtqwdhxkhw/edit?usp=sharing"",""ลพบุรี!M284"")"),1740.0)</f>
        <v>1740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IFERROR(__xludf.DUMMYFUNCTION("IMPORTRANGE(""https://docs.google.com/spreadsheets/d/1SX6NBoVAgQJ6U1MVXOaj8PK2l7WJ3RER9xtqwdhxkhw/edit?usp=sharing"",""ลพบุรี!J286"")"),0.0)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IFERROR(__xludf.DUMMYFUNCTION("IMPORTRANGE(""https://docs.google.com/spreadsheets/d/1SX6NBoVAgQJ6U1MVXOaj8PK2l7WJ3RER9xtqwdhxkhw/edit?usp=sharing"",""ลพบุรี!J287"")"),1.0)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IFERROR(__xludf.DUMMYFUNCTION("IMPORTRANGE(""https://docs.google.com/spreadsheets/d/1SX6NBoVAgQJ6U1MVXOaj8PK2l7WJ3RER9xtqwdhxkhw/edit?usp=sharing"",""ลพบุรี!J288"")"),1.0)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IFERROR(__xludf.DUMMYFUNCTION("IMPORTRANGE(""https://docs.google.com/spreadsheets/d/1SX6NBoVAgQJ6U1MVXOaj8PK2l7WJ3RER9xtqwdhxkhw/edit?usp=sharing"",""ลพบุรี!J289"")"),1.0)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IFERROR(__xludf.DUMMYFUNCTION("IMPORTRANGE(""https://docs.google.com/spreadsheets/d/1SX6NBoVAgQJ6U1MVXOaj8PK2l7WJ3RER9xtqwdhxkhw/edit?usp=sharing"",""ลพบุรี!I291"")"),100.0)</f>
        <v>100</v>
      </c>
      <c r="J396" s="232">
        <f>IFERROR(__xludf.DUMMYFUNCTION("IMPORTRANGE(""https://docs.google.com/spreadsheets/d/1SX6NBoVAgQJ6U1MVXOaj8PK2l7WJ3RER9xtqwdhxkhw/edit?usp=sharing"",""ลพบุรี!J291"")"),100.0)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IFERROR(__xludf.DUMMYFUNCTION("IMPORTRANGE(""https://docs.google.com/spreadsheets/d/1SX6NBoVAgQJ6U1MVXOaj8PK2l7WJ3RER9xtqwdhxkhw/edit?usp=sharing"",""ลพบุรี!I292"")"),1000.0)</f>
        <v>1000</v>
      </c>
      <c r="J397" s="232">
        <f>IFERROR(__xludf.DUMMYFUNCTION("IMPORTRANGE(""https://docs.google.com/spreadsheets/d/1SX6NBoVAgQJ6U1MVXOaj8PK2l7WJ3RER9xtqwdhxkhw/edit?usp=sharing"",""ลพบุรี!J292"")"),0.0)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IFERROR(__xludf.DUMMYFUNCTION("IMPORTRANGE(""https://docs.google.com/spreadsheets/d/1SX6NBoVAgQJ6U1MVXOaj8PK2l7WJ3RER9xtqwdhxkhw/edit?usp=sharing"",""ลพบุรี!I293"")"),100.0)</f>
        <v>100</v>
      </c>
      <c r="J398" s="232">
        <f>IFERROR(__xludf.DUMMYFUNCTION("IMPORTRANGE(""https://docs.google.com/spreadsheets/d/1SX6NBoVAgQJ6U1MVXOaj8PK2l7WJ3RER9xtqwdhxkhw/edit?usp=sharing"",""ลพบุรี!J293"")"),0.0)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IFERROR(__xludf.DUMMYFUNCTION("IMPORTRANGE(""https://docs.google.com/spreadsheets/d/1SX6NBoVAgQJ6U1MVXOaj8PK2l7WJ3RER9xtqwdhxkhw/edit?usp=sharing"",""ลพบุรี!J294"")"),0.0)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IFERROR(__xludf.DUMMYFUNCTION("IMPORTRANGE(""https://docs.google.com/spreadsheets/d/1SX6NBoVAgQJ6U1MVXOaj8PK2l7WJ3RER9xtqwdhxkhw/edit?usp=sharing"",""ลพบุรี!J295"")"),0.0)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IFERROR(__xludf.DUMMYFUNCTION("IMPORTRANGE(""https://docs.google.com/spreadsheets/d/1SX6NBoVAgQJ6U1MVXOaj8PK2l7WJ3RER9xtqwdhxkhw/edit?usp=sharing"",""ลพบุรี!I296"")"),150.0)</f>
        <v>150</v>
      </c>
      <c r="J401" s="404">
        <f>IFERROR(__xludf.DUMMYFUNCTION("IMPORTRANGE(""https://docs.google.com/spreadsheets/d/1SX6NBoVAgQJ6U1MVXOaj8PK2l7WJ3RER9xtqwdhxkhw/edit?usp=sharing"",""ลพบุรี!J296"")"),0.0)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IFERROR(__xludf.DUMMYFUNCTION("IMPORTRANGE(""https://docs.google.com/spreadsheets/d/1SX6NBoVAgQJ6U1MVXOaj8PK2l7WJ3RER9xtqwdhxkhw/edit?usp=sharing"",""ลพบุรี!L296"")"),172800.0)</f>
        <v>172800</v>
      </c>
      <c r="M401" s="406"/>
      <c r="N401" s="406">
        <f>IFERROR(__xludf.DUMMYFUNCTION("IMPORTRANGE(""https://docs.google.com/spreadsheets/d/1SX6NBoVAgQJ6U1MVXOaj8PK2l7WJ3RER9xtqwdhxkhw/edit?usp=sharing"",""ลพบุรี!M296"")"),0.0)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IFERROR(__xludf.DUMMYFUNCTION("IMPORTRANGE(""https://docs.google.com/spreadsheets/d/1SX6NBoVAgQJ6U1MVXOaj8PK2l7WJ3RER9xtqwdhxkhw/edit?usp=sharing"",""ลพบุรี!I297"")"),50.0)</f>
        <v>50</v>
      </c>
      <c r="J402" s="404">
        <f>IFERROR(__xludf.DUMMYFUNCTION("IMPORTRANGE(""https://docs.google.com/spreadsheets/d/1SX6NBoVAgQJ6U1MVXOaj8PK2l7WJ3RER9xtqwdhxkhw/edit?usp=sharing"",""ลพบุรี!J297"")"),0.0)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IFERROR(__xludf.DUMMYFUNCTION("IMPORTRANGE(""https://docs.google.com/spreadsheets/d/1SX6NBoVAgQJ6U1MVXOaj8PK2l7WJ3RER9xtqwdhxkhw/edit?usp=sharing"",""ลพบุรี!L298"")"),0.0)</f>
        <v>0</v>
      </c>
      <c r="M403" s="197"/>
      <c r="N403" s="203">
        <f>IFERROR(__xludf.DUMMYFUNCTION("IMPORTRANGE(""https://docs.google.com/spreadsheets/d/1SX6NBoVAgQJ6U1MVXOaj8PK2l7WJ3RER9xtqwdhxkhw/edit?usp=sharing"",""ลพบุรี!M298"")"),0.0)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IFERROR(__xludf.DUMMYFUNCTION("IMPORTRANGE(""https://docs.google.com/spreadsheets/d/1SX6NBoVAgQJ6U1MVXOaj8PK2l7WJ3RER9xtqwdhxkhw/edit?usp=sharing"",""ลพบุรี!L299"")"),172800.0)</f>
        <v>172800</v>
      </c>
      <c r="M404" s="198"/>
      <c r="N404" s="203">
        <f>IFERROR(__xludf.DUMMYFUNCTION("IMPORTRANGE(""https://docs.google.com/spreadsheets/d/1SX6NBoVAgQJ6U1MVXOaj8PK2l7WJ3RER9xtqwdhxkhw/edit?usp=sharing"",""ลพบุรี!M299"")"),0.0)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IFERROR(__xludf.DUMMYFUNCTION("IMPORTRANGE(""https://docs.google.com/spreadsheets/d/1SX6NBoVAgQJ6U1MVXOaj8PK2l7WJ3RER9xtqwdhxkhw/edit?usp=sharing"",""ลพบุรี!L300"")"),0.0)</f>
        <v>0</v>
      </c>
      <c r="M405" s="203"/>
      <c r="N405" s="203">
        <f>IFERROR(__xludf.DUMMYFUNCTION("IMPORTRANGE(""https://docs.google.com/spreadsheets/d/1SX6NBoVAgQJ6U1MVXOaj8PK2l7WJ3RER9xtqwdhxkhw/edit?usp=sharing"",""ลพบุรี!M300"")"),0.0)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IFERROR(__xludf.DUMMYFUNCTION("IMPORTRANGE(""https://docs.google.com/spreadsheets/d/1SX6NBoVAgQJ6U1MVXOaj8PK2l7WJ3RER9xtqwdhxkhw/edit?usp=sharing"",""ลพบุรี!L301"")"),172800.0)</f>
        <v>172800</v>
      </c>
      <c r="M406" s="203"/>
      <c r="N406" s="203">
        <f>IFERROR(__xludf.DUMMYFUNCTION("IMPORTRANGE(""https://docs.google.com/spreadsheets/d/1SX6NBoVAgQJ6U1MVXOaj8PK2l7WJ3RER9xtqwdhxkhw/edit?usp=sharing"",""ลพบุรี!M301"")"),0.0)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IFERROR(__xludf.DUMMYFUNCTION("IMPORTRANGE(""https://docs.google.com/spreadsheets/d/1SX6NBoVAgQJ6U1MVXOaj8PK2l7WJ3RER9xtqwdhxkhw/edit?usp=sharing"",""ลพบุรี!M302"")"),0.0)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IFERROR(__xludf.DUMMYFUNCTION("IMPORTRANGE(""https://docs.google.com/spreadsheets/d/1SX6NBoVAgQJ6U1MVXOaj8PK2l7WJ3RER9xtqwdhxkhw/edit?usp=sharing"",""ลพบุรี!M303"")"),0.0)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IFERROR(__xludf.DUMMYFUNCTION("IMPORTRANGE(""https://docs.google.com/spreadsheets/d/1SX6NBoVAgQJ6U1MVXOaj8PK2l7WJ3RER9xtqwdhxkhw/edit?usp=sharing"",""ลพบุรี!M304"")"),0.0)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IFERROR(__xludf.DUMMYFUNCTION("IMPORTRANGE(""https://docs.google.com/spreadsheets/d/1SX6NBoVAgQJ6U1MVXOaj8PK2l7WJ3RER9xtqwdhxkhw/edit?usp=sharing"",""ลพบุรี!M305"")"),0.0)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IFERROR(__xludf.DUMMYFUNCTION("IMPORTRANGE(""https://docs.google.com/spreadsheets/d/1SX6NBoVAgQJ6U1MVXOaj8PK2l7WJ3RER9xtqwdhxkhw/edit?usp=sharing"",""ลพบุรี!J307"")"),1.0)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IFERROR(__xludf.DUMMYFUNCTION("IMPORTRANGE(""https://docs.google.com/spreadsheets/d/1SX6NBoVAgQJ6U1MVXOaj8PK2l7WJ3RER9xtqwdhxkhw/edit?usp=sharing"",""ลพบุรี!J308"")"),0.0)</f>
        <v>0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IFERROR(__xludf.DUMMYFUNCTION("IMPORTRANGE(""https://docs.google.com/spreadsheets/d/1SX6NBoVAgQJ6U1MVXOaj8PK2l7WJ3RER9xtqwdhxkhw/edit?usp=sharing"",""ลพบุรี!J309"")"),0.0)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IFERROR(__xludf.DUMMYFUNCTION("IMPORTRANGE(""https://docs.google.com/spreadsheets/d/1SX6NBoVAgQJ6U1MVXOaj8PK2l7WJ3RER9xtqwdhxkhw/edit?usp=sharing"",""ลพบุรี!J310"")"),0.0)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IFERROR(__xludf.DUMMYFUNCTION("IMPORTRANGE(""https://docs.google.com/spreadsheets/d/1SX6NBoVAgQJ6U1MVXOaj8PK2l7WJ3RER9xtqwdhxkhw/edit?usp=sharing"",""ลพบุรี!I311"")"),50.0)</f>
        <v>50</v>
      </c>
      <c r="J416" s="235">
        <f>IFERROR(__xludf.DUMMYFUNCTION("IMPORTRANGE(""https://docs.google.com/spreadsheets/d/1SX6NBoVAgQJ6U1MVXOaj8PK2l7WJ3RER9xtqwdhxkhw/edit?usp=sharing"",""ลพบุรี!J311"")"),0.0)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IFERROR(__xludf.DUMMYFUNCTION("IMPORTRANGE(""https://docs.google.com/spreadsheets/d/1SX6NBoVAgQJ6U1MVXOaj8PK2l7WJ3RER9xtqwdhxkhw/edit?usp=sharing"",""ลพบุรี!I312"")"),10.0)</f>
        <v>10</v>
      </c>
      <c r="J417" s="425">
        <f>IFERROR(__xludf.DUMMYFUNCTION("IMPORTRANGE(""https://docs.google.com/spreadsheets/d/1SX6NBoVAgQJ6U1MVXOaj8PK2l7WJ3RER9xtqwdhxkhw/edit?usp=sharing"",""ลพบุรี!J312"")"),0.0)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IFERROR(__xludf.DUMMYFUNCTION("IMPORTRANGE(""https://docs.google.com/spreadsheets/d/1SX6NBoVAgQJ6U1MVXOaj8PK2l7WJ3RER9xtqwdhxkhw/edit?usp=sharing"",""ลพบุรี!I313"")"),30.0)</f>
        <v>30</v>
      </c>
      <c r="J418" s="426">
        <f>IFERROR(__xludf.DUMMYFUNCTION("IMPORTRANGE(""https://docs.google.com/spreadsheets/d/1SX6NBoVAgQJ6U1MVXOaj8PK2l7WJ3RER9xtqwdhxkhw/edit?usp=sharing"",""ลพบุรี!J313"")"),0.0)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IFERROR(__xludf.DUMMYFUNCTION("IMPORTRANGE(""https://docs.google.com/spreadsheets/d/1SX6NBoVAgQJ6U1MVXOaj8PK2l7WJ3RER9xtqwdhxkhw/edit?usp=sharing"",""ลพบุรี!I314"")"),10.0)</f>
        <v>10</v>
      </c>
      <c r="J419" s="427">
        <f>IFERROR(__xludf.DUMMYFUNCTION("IMPORTRANGE(""https://docs.google.com/spreadsheets/d/1SX6NBoVAgQJ6U1MVXOaj8PK2l7WJ3RER9xtqwdhxkhw/edit?usp=sharing"",""ลพบุรี!J314"")"),0.0)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IFERROR(__xludf.DUMMYFUNCTION("IMPORTRANGE(""https://docs.google.com/spreadsheets/d/1SX6NBoVAgQJ6U1MVXOaj8PK2l7WJ3RER9xtqwdhxkhw/edit?usp=sharing"",""ลพบุรี!I315"")"),10.0)</f>
        <v>10</v>
      </c>
      <c r="J420" s="427">
        <f>IFERROR(__xludf.DUMMYFUNCTION("IMPORTRANGE(""https://docs.google.com/spreadsheets/d/1SX6NBoVAgQJ6U1MVXOaj8PK2l7WJ3RER9xtqwdhxkhw/edit?usp=sharing"",""ลพบุรี!J315"")"),0.0)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IFERROR(__xludf.DUMMYFUNCTION("IMPORTRANGE(""https://docs.google.com/spreadsheets/d/1SX6NBoVAgQJ6U1MVXOaj8PK2l7WJ3RER9xtqwdhxkhw/edit?usp=sharing"",""ลพบุรี!I316"")"),30.0)</f>
        <v>30</v>
      </c>
      <c r="J421" s="425">
        <f>IFERROR(__xludf.DUMMYFUNCTION("IMPORTRANGE(""https://docs.google.com/spreadsheets/d/1SX6NBoVAgQJ6U1MVXOaj8PK2l7WJ3RER9xtqwdhxkhw/edit?usp=sharing"",""ลพบุรี!J316"")"),0.0)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IFERROR(__xludf.DUMMYFUNCTION("IMPORTRANGE(""https://docs.google.com/spreadsheets/d/1SX6NBoVAgQJ6U1MVXOaj8PK2l7WJ3RER9xtqwdhxkhw/edit?usp=sharing"",""ลพบุรี!I317"")"),90.0)</f>
        <v>90</v>
      </c>
      <c r="J422" s="426">
        <f>IFERROR(__xludf.DUMMYFUNCTION("IMPORTRANGE(""https://docs.google.com/spreadsheets/d/1SX6NBoVAgQJ6U1MVXOaj8PK2l7WJ3RER9xtqwdhxkhw/edit?usp=sharing"",""ลพบุรี!J317"")"),0.0)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IFERROR(__xludf.DUMMYFUNCTION("IMPORTRANGE(""https://docs.google.com/spreadsheets/d/1SX6NBoVAgQJ6U1MVXOaj8PK2l7WJ3RER9xtqwdhxkhw/edit?usp=sharing"",""ลพบุรี!I318"")"),30.0)</f>
        <v>30</v>
      </c>
      <c r="J423" s="427">
        <f>IFERROR(__xludf.DUMMYFUNCTION("IMPORTRANGE(""https://docs.google.com/spreadsheets/d/1SX6NBoVAgQJ6U1MVXOaj8PK2l7WJ3RER9xtqwdhxkhw/edit?usp=sharing"",""ลพบุรี!J318"")"),0.0)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IFERROR(__xludf.DUMMYFUNCTION("IMPORTRANGE(""https://docs.google.com/spreadsheets/d/1SX6NBoVAgQJ6U1MVXOaj8PK2l7WJ3RER9xtqwdhxkhw/edit?usp=sharing"",""ลพบุรี!I319"")"),30.0)</f>
        <v>30</v>
      </c>
      <c r="J424" s="427">
        <f>IFERROR(__xludf.DUMMYFUNCTION("IMPORTRANGE(""https://docs.google.com/spreadsheets/d/1SX6NBoVAgQJ6U1MVXOaj8PK2l7WJ3RER9xtqwdhxkhw/edit?usp=sharing"",""ลพบุรี!J319"")"),0.0)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IFERROR(__xludf.DUMMYFUNCTION("IMPORTRANGE(""https://docs.google.com/spreadsheets/d/1SX6NBoVAgQJ6U1MVXOaj8PK2l7WJ3RER9xtqwdhxkhw/edit?usp=sharing"",""ลพบุรี!I320"")"),30.0)</f>
        <v>30</v>
      </c>
      <c r="J425" s="427">
        <f>IFERROR(__xludf.DUMMYFUNCTION("IMPORTRANGE(""https://docs.google.com/spreadsheets/d/1SX6NBoVAgQJ6U1MVXOaj8PK2l7WJ3RER9xtqwdhxkhw/edit?usp=sharing"",""ลพบุรี!J320"")"),0.0)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IFERROR(__xludf.DUMMYFUNCTION("IMPORTRANGE(""https://docs.google.com/spreadsheets/d/1SX6NBoVAgQJ6U1MVXOaj8PK2l7WJ3RER9xtqwdhxkhw/edit?usp=sharing"",""ลพบุรี!I321"")"),10.0)</f>
        <v>10</v>
      </c>
      <c r="J426" s="425">
        <f>IFERROR(__xludf.DUMMYFUNCTION("IMPORTRANGE(""https://docs.google.com/spreadsheets/d/1SX6NBoVAgQJ6U1MVXOaj8PK2l7WJ3RER9xtqwdhxkhw/edit?usp=sharing"",""ลพบุรี!J321"")"),0.0)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IFERROR(__xludf.DUMMYFUNCTION("IMPORTRANGE(""https://docs.google.com/spreadsheets/d/1SX6NBoVAgQJ6U1MVXOaj8PK2l7WJ3RER9xtqwdhxkhw/edit?usp=sharing"",""ลพบุรี!I322"")"),30.0)</f>
        <v>30</v>
      </c>
      <c r="J427" s="426">
        <f>IFERROR(__xludf.DUMMYFUNCTION("IMPORTRANGE(""https://docs.google.com/spreadsheets/d/1SX6NBoVAgQJ6U1MVXOaj8PK2l7WJ3RER9xtqwdhxkhw/edit?usp=sharing"",""ลพบุรี!J322"")"),0.0)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IFERROR(__xludf.DUMMYFUNCTION("IMPORTRANGE(""https://docs.google.com/spreadsheets/d/1SX6NBoVAgQJ6U1MVXOaj8PK2l7WJ3RER9xtqwdhxkhw/edit?usp=sharing"",""ลพบุรี!I323"")"),10.0)</f>
        <v>10</v>
      </c>
      <c r="J428" s="427">
        <f>IFERROR(__xludf.DUMMYFUNCTION("IMPORTRANGE(""https://docs.google.com/spreadsheets/d/1SX6NBoVAgQJ6U1MVXOaj8PK2l7WJ3RER9xtqwdhxkhw/edit?usp=sharing"",""ลพบุรี!J323"")"),0.0)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IFERROR(__xludf.DUMMYFUNCTION("IMPORTRANGE(""https://docs.google.com/spreadsheets/d/1SX6NBoVAgQJ6U1MVXOaj8PK2l7WJ3RER9xtqwdhxkhw/edit?usp=sharing"",""ลพบุรี!I324"")"),10.0)</f>
        <v>10</v>
      </c>
      <c r="J429" s="427">
        <f>IFERROR(__xludf.DUMMYFUNCTION("IMPORTRANGE(""https://docs.google.com/spreadsheets/d/1SX6NBoVAgQJ6U1MVXOaj8PK2l7WJ3RER9xtqwdhxkhw/edit?usp=sharing"",""ลพบุรี!J324"")"),0.0)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IFERROR(__xludf.DUMMYFUNCTION("IMPORTRANGE(""https://docs.google.com/spreadsheets/d/1SX6NBoVAgQJ6U1MVXOaj8PK2l7WJ3RER9xtqwdhxkhw/edit?usp=sharing"",""ลพบุรี!I325"")"),40.0)</f>
        <v>40</v>
      </c>
      <c r="J430" s="425">
        <f>IFERROR(__xludf.DUMMYFUNCTION("IMPORTRANGE(""https://docs.google.com/spreadsheets/d/1SX6NBoVAgQJ6U1MVXOaj8PK2l7WJ3RER9xtqwdhxkhw/edit?usp=sharing"",""ลพบุรี!J325"")"),0.0)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IFERROR(__xludf.DUMMYFUNCTION("IMPORTRANGE(""https://docs.google.com/spreadsheets/d/1SX6NBoVAgQJ6U1MVXOaj8PK2l7WJ3RER9xtqwdhxkhw/edit?usp=sharing"",""ลพบุรี!I326"")"),10.0)</f>
        <v>10</v>
      </c>
      <c r="J431" s="427">
        <f>IFERROR(__xludf.DUMMYFUNCTION("IMPORTRANGE(""https://docs.google.com/spreadsheets/d/1SX6NBoVAgQJ6U1MVXOaj8PK2l7WJ3RER9xtqwdhxkhw/edit?usp=sharing"",""ลพบุรี!J326"")"),0.0)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IFERROR(__xludf.DUMMYFUNCTION("IMPORTRANGE(""https://docs.google.com/spreadsheets/d/1SX6NBoVAgQJ6U1MVXOaj8PK2l7WJ3RER9xtqwdhxkhw/edit?usp=sharing"",""ลพบุรี!I327"")"),30.0)</f>
        <v>30</v>
      </c>
      <c r="J432" s="427">
        <f>IFERROR(__xludf.DUMMYFUNCTION("IMPORTRANGE(""https://docs.google.com/spreadsheets/d/1SX6NBoVAgQJ6U1MVXOaj8PK2l7WJ3RER9xtqwdhxkhw/edit?usp=sharing"",""ลพบุรี!J327"")"),0.0)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IFERROR(__xludf.DUMMYFUNCTION("IMPORTRANGE(""https://docs.google.com/spreadsheets/d/1SX6NBoVAgQJ6U1MVXOaj8PK2l7WJ3RER9xtqwdhxkhw/edit?usp=sharing"",""ลพบุรี!J328"")"),0.0)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IFERROR(__xludf.DUMMYFUNCTION("IMPORTRANGE(""https://docs.google.com/spreadsheets/d/1SX6NBoVAgQJ6U1MVXOaj8PK2l7WJ3RER9xtqwdhxkhw/edit?usp=sharing"",""ลพบุรี!J329"")"),0.0)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IFERROR(__xludf.DUMMYFUNCTION("IMPORTRANGE(""https://docs.google.com/spreadsheets/d/1SX6NBoVAgQJ6U1MVXOaj8PK2l7WJ3RER9xtqwdhxkhw/edit?usp=sharing"",""ลพบุรี!I330"")"),20.0)</f>
        <v>20</v>
      </c>
      <c r="J435" s="443">
        <f>IFERROR(__xludf.DUMMYFUNCTION("IMPORTRANGE(""https://docs.google.com/spreadsheets/d/1SX6NBoVAgQJ6U1MVXOaj8PK2l7WJ3RER9xtqwdhxkhw/edit?usp=sharing"",""ลพบุรี!J330"")"),20.0)</f>
        <v>20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IFERROR(__xludf.DUMMYFUNCTION("IMPORTRANGE(""https://docs.google.com/spreadsheets/d/1SX6NBoVAgQJ6U1MVXOaj8PK2l7WJ3RER9xtqwdhxkhw/edit?usp=sharing"",""ลพบุรี!L330"")"),95000.0)</f>
        <v>95000</v>
      </c>
      <c r="M435" s="445"/>
      <c r="N435" s="445">
        <f>IFERROR(__xludf.DUMMYFUNCTION("IMPORTRANGE(""https://docs.google.com/spreadsheets/d/1SX6NBoVAgQJ6U1MVXOaj8PK2l7WJ3RER9xtqwdhxkhw/edit?usp=sharing"",""ลพบุรี!M330"")"),56520.0)</f>
        <v>56520</v>
      </c>
      <c r="O435" s="445">
        <f t="shared" ref="O435:O439" si="115">+IF(L435&gt;0,N435*100/L435,0)</f>
        <v>59.49473684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IFERROR(__xludf.DUMMYFUNCTION("IMPORTRANGE(""https://docs.google.com/spreadsheets/d/1SX6NBoVAgQJ6U1MVXOaj8PK2l7WJ3RER9xtqwdhxkhw/edit?usp=sharing"",""ลพบุรี!L331"")"),0.0)</f>
        <v>0</v>
      </c>
      <c r="M436" s="197"/>
      <c r="N436" s="203">
        <f>IFERROR(__xludf.DUMMYFUNCTION("IMPORTRANGE(""https://docs.google.com/spreadsheets/d/1SX6NBoVAgQJ6U1MVXOaj8PK2l7WJ3RER9xtqwdhxkhw/edit?usp=sharing"",""ลพบุรี!M331"")"),0.0)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IFERROR(__xludf.DUMMYFUNCTION("IMPORTRANGE(""https://docs.google.com/spreadsheets/d/1SX6NBoVAgQJ6U1MVXOaj8PK2l7WJ3RER9xtqwdhxkhw/edit?usp=sharing"",""ลพบุรี!L332"")"),95000.0)</f>
        <v>95000</v>
      </c>
      <c r="M437" s="198"/>
      <c r="N437" s="203">
        <f>IFERROR(__xludf.DUMMYFUNCTION("IMPORTRANGE(""https://docs.google.com/spreadsheets/d/1SX6NBoVAgQJ6U1MVXOaj8PK2l7WJ3RER9xtqwdhxkhw/edit?usp=sharing"",""ลพบุรี!M332"")"),56520.0)</f>
        <v>56520</v>
      </c>
      <c r="O437" s="203">
        <f t="shared" si="115"/>
        <v>59.49473684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IFERROR(__xludf.DUMMYFUNCTION("IMPORTRANGE(""https://docs.google.com/spreadsheets/d/1SX6NBoVAgQJ6U1MVXOaj8PK2l7WJ3RER9xtqwdhxkhw/edit?usp=sharing"",""ลพบุรี!L333"")"),0.0)</f>
        <v>0</v>
      </c>
      <c r="M438" s="203"/>
      <c r="N438" s="203">
        <f>IFERROR(__xludf.DUMMYFUNCTION("IMPORTRANGE(""https://docs.google.com/spreadsheets/d/1SX6NBoVAgQJ6U1MVXOaj8PK2l7WJ3RER9xtqwdhxkhw/edit?usp=sharing"",""ลพบุรี!M333"")"),0.0)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IFERROR(__xludf.DUMMYFUNCTION("IMPORTRANGE(""https://docs.google.com/spreadsheets/d/1SX6NBoVAgQJ6U1MVXOaj8PK2l7WJ3RER9xtqwdhxkhw/edit?usp=sharing"",""ลพบุรี!L334"")"),95000.0)</f>
        <v>95000</v>
      </c>
      <c r="M439" s="203"/>
      <c r="N439" s="203">
        <f>IFERROR(__xludf.DUMMYFUNCTION("IMPORTRANGE(""https://docs.google.com/spreadsheets/d/1SX6NBoVAgQJ6U1MVXOaj8PK2l7WJ3RER9xtqwdhxkhw/edit?usp=sharing"",""ลพบุรี!M334"")"),56520.0)</f>
        <v>56520</v>
      </c>
      <c r="O439" s="203">
        <f t="shared" si="115"/>
        <v>59.49473684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IFERROR(__xludf.DUMMYFUNCTION("IMPORTRANGE(""https://docs.google.com/spreadsheets/d/1SX6NBoVAgQJ6U1MVXOaj8PK2l7WJ3RER9xtqwdhxkhw/edit?usp=sharing"",""ลพบุรี!M335"")"),44200.0)</f>
        <v>44200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IFERROR(__xludf.DUMMYFUNCTION("IMPORTRANGE(""https://docs.google.com/spreadsheets/d/1SX6NBoVAgQJ6U1MVXOaj8PK2l7WJ3RER9xtqwdhxkhw/edit?usp=sharing"",""ลพบุรี!M336"")"),0.0)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IFERROR(__xludf.DUMMYFUNCTION("IMPORTRANGE(""https://docs.google.com/spreadsheets/d/1SX6NBoVAgQJ6U1MVXOaj8PK2l7WJ3RER9xtqwdhxkhw/edit?usp=sharing"",""ลพบุรี!M337"")"),0.0)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IFERROR(__xludf.DUMMYFUNCTION("IMPORTRANGE(""https://docs.google.com/spreadsheets/d/1SX6NBoVAgQJ6U1MVXOaj8PK2l7WJ3RER9xtqwdhxkhw/edit?usp=sharing"",""ลพบุรี!M338"")"),12320.0)</f>
        <v>12320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IFERROR(__xludf.DUMMYFUNCTION("IMPORTRANGE(""https://docs.google.com/spreadsheets/d/1SX6NBoVAgQJ6U1MVXOaj8PK2l7WJ3RER9xtqwdhxkhw/edit?usp=sharing"",""ลพบุรี!J340"")"),0.0)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IFERROR(__xludf.DUMMYFUNCTION("IMPORTRANGE(""https://docs.google.com/spreadsheets/d/1SX6NBoVAgQJ6U1MVXOaj8PK2l7WJ3RER9xtqwdhxkhw/edit?usp=sharing"",""ลพบุรี!J341"")"),1.0)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IFERROR(__xludf.DUMMYFUNCTION("IMPORTRANGE(""https://docs.google.com/spreadsheets/d/1SX6NBoVAgQJ6U1MVXOaj8PK2l7WJ3RER9xtqwdhxkhw/edit?usp=sharing"",""ลพบุรี!J342"")"),1.0)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IFERROR(__xludf.DUMMYFUNCTION("IMPORTRANGE(""https://docs.google.com/spreadsheets/d/1SX6NBoVAgQJ6U1MVXOaj8PK2l7WJ3RER9xtqwdhxkhw/edit?usp=sharing"",""ลพบุรี!J343"")"),1.0)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IFERROR(__xludf.DUMMYFUNCTION("IMPORTRANGE(""https://docs.google.com/spreadsheets/d/1SX6NBoVAgQJ6U1MVXOaj8PK2l7WJ3RER9xtqwdhxkhw/edit?usp=sharing"",""ลพบุรี!I344"")"),20.0)</f>
        <v>20</v>
      </c>
      <c r="J449" s="235">
        <f>IFERROR(__xludf.DUMMYFUNCTION("IMPORTRANGE(""https://docs.google.com/spreadsheets/d/1SX6NBoVAgQJ6U1MVXOaj8PK2l7WJ3RER9xtqwdhxkhw/edit?usp=sharing"",""ลพบุรี!J344"")"),20.0)</f>
        <v>20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IFERROR(__xludf.DUMMYFUNCTION("IMPORTRANGE(""https://docs.google.com/spreadsheets/d/1SX6NBoVAgQJ6U1MVXOaj8PK2l7WJ3RER9xtqwdhxkhw/edit?usp=sharing"",""ลพบุรี!I345"")"),20.0)</f>
        <v>20</v>
      </c>
      <c r="J450" s="223">
        <f>IFERROR(__xludf.DUMMYFUNCTION("IMPORTRANGE(""https://docs.google.com/spreadsheets/d/1SX6NBoVAgQJ6U1MVXOaj8PK2l7WJ3RER9xtqwdhxkhw/edit?usp=sharing"",""ลพบุรี!J345"")"),20.0)</f>
        <v>20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IFERROR(__xludf.DUMMYFUNCTION("IMPORTRANGE(""https://docs.google.com/spreadsheets/d/1SX6NBoVAgQJ6U1MVXOaj8PK2l7WJ3RER9xtqwdhxkhw/edit?usp=sharing"",""ลพบุรี!I346"")"),0.0)</f>
        <v>0</v>
      </c>
      <c r="J451" s="222">
        <f>IFERROR(__xludf.DUMMYFUNCTION("IMPORTRANGE(""https://docs.google.com/spreadsheets/d/1SX6NBoVAgQJ6U1MVXOaj8PK2l7WJ3RER9xtqwdhxkhw/edit?usp=sharing"",""ลพบุรี!J346"")"),0.0)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IFERROR(__xludf.DUMMYFUNCTION("IMPORTRANGE(""https://docs.google.com/spreadsheets/d/1SX6NBoVAgQJ6U1MVXOaj8PK2l7WJ3RER9xtqwdhxkhw/edit?usp=sharing"",""ลพบุรี!I347"")"),0.0)</f>
        <v>0</v>
      </c>
      <c r="J452" s="222">
        <f>IFERROR(__xludf.DUMMYFUNCTION("IMPORTRANGE(""https://docs.google.com/spreadsheets/d/1SX6NBoVAgQJ6U1MVXOaj8PK2l7WJ3RER9xtqwdhxkhw/edit?usp=sharing"",""ลพบุรี!J347"")"),0.0)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IFERROR(__xludf.DUMMYFUNCTION("IMPORTRANGE(""https://docs.google.com/spreadsheets/d/1SX6NBoVAgQJ6U1MVXOaj8PK2l7WJ3RER9xtqwdhxkhw/edit?usp=sharing"",""ลพบุรี!J348"")"),0.0)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IFERROR(__xludf.DUMMYFUNCTION("IMPORTRANGE(""https://docs.google.com/spreadsheets/d/1SX6NBoVAgQJ6U1MVXOaj8PK2l7WJ3RER9xtqwdhxkhw/edit?usp=sharing"",""ลพบุรี!J349"")"),0.0)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IFERROR(__xludf.DUMMYFUNCTION("IMPORTRANGE(""https://docs.google.com/spreadsheets/d/1SX6NBoVAgQJ6U1MVXOaj8PK2l7WJ3RER9xtqwdhxkhw/edit?usp=sharing"",""ลพบุรี!I350"")"),106282.0)</f>
        <v>106282</v>
      </c>
      <c r="J455" s="404">
        <f>IFERROR(__xludf.DUMMYFUNCTION("IMPORTRANGE(""https://docs.google.com/spreadsheets/d/1SX6NBoVAgQJ6U1MVXOaj8PK2l7WJ3RER9xtqwdhxkhw/edit?usp=sharing"",""ลพบุรี!J350"")"),0.0)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IFERROR(__xludf.DUMMYFUNCTION("IMPORTRANGE(""https://docs.google.com/spreadsheets/d/1SX6NBoVAgQJ6U1MVXOaj8PK2l7WJ3RER9xtqwdhxkhw/edit?usp=sharing"",""ลพบุรี!L350"")"),794001.0)</f>
        <v>794001</v>
      </c>
      <c r="M455" s="406"/>
      <c r="N455" s="406">
        <f>IFERROR(__xludf.DUMMYFUNCTION("IMPORTRANGE(""https://docs.google.com/spreadsheets/d/1SX6NBoVAgQJ6U1MVXOaj8PK2l7WJ3RER9xtqwdhxkhw/edit?usp=sharing"",""ลพบุรี!M350"")"),0.0)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IFERROR(__xludf.DUMMYFUNCTION("IMPORTRANGE(""https://docs.google.com/spreadsheets/d/1SX6NBoVAgQJ6U1MVXOaj8PK2l7WJ3RER9xtqwdhxkhw/edit?usp=sharing"",""ลพบุรี!L351"")"),0.0)</f>
        <v>0</v>
      </c>
      <c r="M456" s="197"/>
      <c r="N456" s="203">
        <f>IFERROR(__xludf.DUMMYFUNCTION("IMPORTRANGE(""https://docs.google.com/spreadsheets/d/1SX6NBoVAgQJ6U1MVXOaj8PK2l7WJ3RER9xtqwdhxkhw/edit?usp=sharing"",""ลพบุรี!M351"")"),0.0)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IFERROR(__xludf.DUMMYFUNCTION("IMPORTRANGE(""https://docs.google.com/spreadsheets/d/1SX6NBoVAgQJ6U1MVXOaj8PK2l7WJ3RER9xtqwdhxkhw/edit?usp=sharing"",""ลพบุรี!L352"")"),794001.0)</f>
        <v>794001</v>
      </c>
      <c r="M457" s="198"/>
      <c r="N457" s="203">
        <f>IFERROR(__xludf.DUMMYFUNCTION("IMPORTRANGE(""https://docs.google.com/spreadsheets/d/1SX6NBoVAgQJ6U1MVXOaj8PK2l7WJ3RER9xtqwdhxkhw/edit?usp=sharing"",""ลพบุรี!M352"")"),0.0)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IFERROR(__xludf.DUMMYFUNCTION("IMPORTRANGE(""https://docs.google.com/spreadsheets/d/1SX6NBoVAgQJ6U1MVXOaj8PK2l7WJ3RER9xtqwdhxkhw/edit?usp=sharing"",""ลพบุรี!L353"")"),0.0)</f>
        <v>0</v>
      </c>
      <c r="M458" s="203"/>
      <c r="N458" s="203">
        <f>IFERROR(__xludf.DUMMYFUNCTION("IMPORTRANGE(""https://docs.google.com/spreadsheets/d/1SX6NBoVAgQJ6U1MVXOaj8PK2l7WJ3RER9xtqwdhxkhw/edit?usp=sharing"",""ลพบุรี!M353"")"),0.0)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IFERROR(__xludf.DUMMYFUNCTION("IMPORTRANGE(""https://docs.google.com/spreadsheets/d/1SX6NBoVAgQJ6U1MVXOaj8PK2l7WJ3RER9xtqwdhxkhw/edit?usp=sharing"",""ลพบุรี!L354"")"),794001.0)</f>
        <v>794001</v>
      </c>
      <c r="M459" s="203"/>
      <c r="N459" s="203">
        <f>IFERROR(__xludf.DUMMYFUNCTION("IMPORTRANGE(""https://docs.google.com/spreadsheets/d/1SX6NBoVAgQJ6U1MVXOaj8PK2l7WJ3RER9xtqwdhxkhw/edit?usp=sharing"",""ลพบุรี!M354"")"),0.0)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IFERROR(__xludf.DUMMYFUNCTION("IMPORTRANGE(""https://docs.google.com/spreadsheets/d/1SX6NBoVAgQJ6U1MVXOaj8PK2l7WJ3RER9xtqwdhxkhw/edit?usp=sharing"",""ลพบุรี!M355"")"),0.0)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IFERROR(__xludf.DUMMYFUNCTION("IMPORTRANGE(""https://docs.google.com/spreadsheets/d/1SX6NBoVAgQJ6U1MVXOaj8PK2l7WJ3RER9xtqwdhxkhw/edit?usp=sharing"",""ลพบุรี!M356"")"),0.0)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IFERROR(__xludf.DUMMYFUNCTION("IMPORTRANGE(""https://docs.google.com/spreadsheets/d/1SX6NBoVAgQJ6U1MVXOaj8PK2l7WJ3RER9xtqwdhxkhw/edit?usp=sharing"",""ลพบุรี!M357"")"),0.0)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IFERROR(__xludf.DUMMYFUNCTION("IMPORTRANGE(""https://docs.google.com/spreadsheets/d/1SX6NBoVAgQJ6U1MVXOaj8PK2l7WJ3RER9xtqwdhxkhw/edit?usp=sharing"",""ลพบุรี!M358"")"),0.0)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IFERROR(__xludf.DUMMYFUNCTION("IMPORTRANGE(""https://docs.google.com/spreadsheets/d/1SX6NBoVAgQJ6U1MVXOaj8PK2l7WJ3RER9xtqwdhxkhw/edit?usp=sharing"",""ลพบุรี!I359"")"),106282.0)</f>
        <v>106282</v>
      </c>
      <c r="J464" s="301">
        <f>IFERROR(__xludf.DUMMYFUNCTION("IMPORTRANGE(""https://docs.google.com/spreadsheets/d/1SX6NBoVAgQJ6U1MVXOaj8PK2l7WJ3RER9xtqwdhxkhw/edit?usp=sharing"",""ลพบุรี!J359"")"),0.0)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IFERROR(__xludf.DUMMYFUNCTION("IMPORTRANGE(""https://docs.google.com/spreadsheets/d/1SX6NBoVAgQJ6U1MVXOaj8PK2l7WJ3RER9xtqwdhxkhw/edit?usp=sharing"",""ลพบุรี!I360"")"),106282.0)</f>
        <v>106282</v>
      </c>
      <c r="J465" s="453">
        <f>IFERROR(__xludf.DUMMYFUNCTION("IMPORTRANGE(""https://docs.google.com/spreadsheets/d/1SX6NBoVAgQJ6U1MVXOaj8PK2l7WJ3RER9xtqwdhxkhw/edit?usp=sharing"",""ลพบุรี!J360"")"),0.0)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IFERROR(__xludf.DUMMYFUNCTION("IMPORTRANGE(""https://docs.google.com/spreadsheets/d/1SX6NBoVAgQJ6U1MVXOaj8PK2l7WJ3RER9xtqwdhxkhw/edit?usp=sharing"",""ลพบุรี!I361"")"),6394.0)</f>
        <v>6394</v>
      </c>
      <c r="J466" s="453">
        <f>IFERROR(__xludf.DUMMYFUNCTION("IMPORTRANGE(""https://docs.google.com/spreadsheets/d/1SX6NBoVAgQJ6U1MVXOaj8PK2l7WJ3RER9xtqwdhxkhw/edit?usp=sharing"",""ลพบุรี!J361"")"),0.0)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IFERROR(__xludf.DUMMYFUNCTION("IMPORTRANGE(""https://docs.google.com/spreadsheets/d/1SX6NBoVAgQJ6U1MVXOaj8PK2l7WJ3RER9xtqwdhxkhw/edit?usp=sharing"",""ลพบุรี!I362"")"),0.0)</f>
        <v>0</v>
      </c>
      <c r="J467" s="223">
        <f>IFERROR(__xludf.DUMMYFUNCTION("IMPORTRANGE(""https://docs.google.com/spreadsheets/d/1SX6NBoVAgQJ6U1MVXOaj8PK2l7WJ3RER9xtqwdhxkhw/edit?usp=sharing"",""ลพบุรี!J362"")"),0.0)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IFERROR(__xludf.DUMMYFUNCTION("IMPORTRANGE(""https://docs.google.com/spreadsheets/d/1SX6NBoVAgQJ6U1MVXOaj8PK2l7WJ3RER9xtqwdhxkhw/edit?usp=sharing"",""ลพบุรี!I363"")"),0.0)</f>
        <v>0</v>
      </c>
      <c r="J468" s="223">
        <f>IFERROR(__xludf.DUMMYFUNCTION("IMPORTRANGE(""https://docs.google.com/spreadsheets/d/1SX6NBoVAgQJ6U1MVXOaj8PK2l7WJ3RER9xtqwdhxkhw/edit?usp=sharing"",""ลพบุรี!J363"")"),0.0)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IFERROR(__xludf.DUMMYFUNCTION("IMPORTRANGE(""https://docs.google.com/spreadsheets/d/1SX6NBoVAgQJ6U1MVXOaj8PK2l7WJ3RER9xtqwdhxkhw/edit?usp=sharing"",""ลพบุรี!I364"")"),0.0)</f>
        <v>0</v>
      </c>
      <c r="J469" s="223">
        <f>IFERROR(__xludf.DUMMYFUNCTION("IMPORTRANGE(""https://docs.google.com/spreadsheets/d/1SX6NBoVAgQJ6U1MVXOaj8PK2l7WJ3RER9xtqwdhxkhw/edit?usp=sharing"",""ลพบุรี!J364"")"),0.0)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IFERROR(__xludf.DUMMYFUNCTION("IMPORTRANGE(""https://docs.google.com/spreadsheets/d/1SX6NBoVAgQJ6U1MVXOaj8PK2l7WJ3RER9xtqwdhxkhw/edit?usp=sharing"",""ลพบุรี!I365"")"),0.0)</f>
        <v>0</v>
      </c>
      <c r="J470" s="223">
        <f>IFERROR(__xludf.DUMMYFUNCTION("IMPORTRANGE(""https://docs.google.com/spreadsheets/d/1SX6NBoVAgQJ6U1MVXOaj8PK2l7WJ3RER9xtqwdhxkhw/edit?usp=sharing"",""ลพบุรี!J365"")"),0.0)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IFERROR(__xludf.DUMMYFUNCTION("IMPORTRANGE(""https://docs.google.com/spreadsheets/d/1SX6NBoVAgQJ6U1MVXOaj8PK2l7WJ3RER9xtqwdhxkhw/edit?usp=sharing"",""ลพบุรี!I366"")"),0.0)</f>
        <v>0</v>
      </c>
      <c r="J471" s="223">
        <f>IFERROR(__xludf.DUMMYFUNCTION("IMPORTRANGE(""https://docs.google.com/spreadsheets/d/1SX6NBoVAgQJ6U1MVXOaj8PK2l7WJ3RER9xtqwdhxkhw/edit?usp=sharing"",""ลพบุรี!J366"")"),0.0)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IFERROR(__xludf.DUMMYFUNCTION("IMPORTRANGE(""https://docs.google.com/spreadsheets/d/1SX6NBoVAgQJ6U1MVXOaj8PK2l7WJ3RER9xtqwdhxkhw/edit?usp=sharing"",""ลพบุรี!I367"")"),0.0)</f>
        <v>0</v>
      </c>
      <c r="J472" s="223">
        <f>IFERROR(__xludf.DUMMYFUNCTION("IMPORTRANGE(""https://docs.google.com/spreadsheets/d/1SX6NBoVAgQJ6U1MVXOaj8PK2l7WJ3RER9xtqwdhxkhw/edit?usp=sharing"",""ลพบุรี!J367"")"),0.0)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IFERROR(__xludf.DUMMYFUNCTION("IMPORTRANGE(""https://docs.google.com/spreadsheets/d/1SX6NBoVAgQJ6U1MVXOaj8PK2l7WJ3RER9xtqwdhxkhw/edit?usp=sharing"",""ลพบุรี!I368"")"),106282.0)</f>
        <v>106282</v>
      </c>
      <c r="J473" s="453">
        <f>IFERROR(__xludf.DUMMYFUNCTION("IMPORTRANGE(""https://docs.google.com/spreadsheets/d/1SX6NBoVAgQJ6U1MVXOaj8PK2l7WJ3RER9xtqwdhxkhw/edit?usp=sharing"",""ลพบุรี!J368"")"),0.0)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IFERROR(__xludf.DUMMYFUNCTION("IMPORTRANGE(""https://docs.google.com/spreadsheets/d/1SX6NBoVAgQJ6U1MVXOaj8PK2l7WJ3RER9xtqwdhxkhw/edit?usp=sharing"",""ลพบุรี!I369"")"),6394.0)</f>
        <v>6394</v>
      </c>
      <c r="J474" s="453">
        <f>IFERROR(__xludf.DUMMYFUNCTION("IMPORTRANGE(""https://docs.google.com/spreadsheets/d/1SX6NBoVAgQJ6U1MVXOaj8PK2l7WJ3RER9xtqwdhxkhw/edit?usp=sharing"",""ลพบุรี!J369"")"),0.0)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IFERROR(__xludf.DUMMYFUNCTION("IMPORTRANGE(""https://docs.google.com/spreadsheets/d/1SX6NBoVAgQJ6U1MVXOaj8PK2l7WJ3RER9xtqwdhxkhw/edit?usp=sharing"",""ลพบุรี!I370"")"),0.0)</f>
        <v>0</v>
      </c>
      <c r="J475" s="223">
        <f>IFERROR(__xludf.DUMMYFUNCTION("IMPORTRANGE(""https://docs.google.com/spreadsheets/d/1SX6NBoVAgQJ6U1MVXOaj8PK2l7WJ3RER9xtqwdhxkhw/edit?usp=sharing"",""ลพบุรี!J370"")"),0.0)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IFERROR(__xludf.DUMMYFUNCTION("IMPORTRANGE(""https://docs.google.com/spreadsheets/d/1SX6NBoVAgQJ6U1MVXOaj8PK2l7WJ3RER9xtqwdhxkhw/edit?usp=sharing"",""ลพบุรี!I371"")"),0.0)</f>
        <v>0</v>
      </c>
      <c r="J476" s="223">
        <f>IFERROR(__xludf.DUMMYFUNCTION("IMPORTRANGE(""https://docs.google.com/spreadsheets/d/1SX6NBoVAgQJ6U1MVXOaj8PK2l7WJ3RER9xtqwdhxkhw/edit?usp=sharing"",""ลพบุรี!J371"")"),0.0)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IFERROR(__xludf.DUMMYFUNCTION("IMPORTRANGE(""https://docs.google.com/spreadsheets/d/1SX6NBoVAgQJ6U1MVXOaj8PK2l7WJ3RER9xtqwdhxkhw/edit?usp=sharing"",""ลพบุรี!I372"")"),0.0)</f>
        <v>0</v>
      </c>
      <c r="J477" s="223">
        <f>IFERROR(__xludf.DUMMYFUNCTION("IMPORTRANGE(""https://docs.google.com/spreadsheets/d/1SX6NBoVAgQJ6U1MVXOaj8PK2l7WJ3RER9xtqwdhxkhw/edit?usp=sharing"",""ลพบุรี!J372"")"),0.0)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IFERROR(__xludf.DUMMYFUNCTION("IMPORTRANGE(""https://docs.google.com/spreadsheets/d/1SX6NBoVAgQJ6U1MVXOaj8PK2l7WJ3RER9xtqwdhxkhw/edit?usp=sharing"",""ลพบุรี!I373"")"),0.0)</f>
        <v>0</v>
      </c>
      <c r="J478" s="223">
        <f>IFERROR(__xludf.DUMMYFUNCTION("IMPORTRANGE(""https://docs.google.com/spreadsheets/d/1SX6NBoVAgQJ6U1MVXOaj8PK2l7WJ3RER9xtqwdhxkhw/edit?usp=sharing"",""ลพบุรี!J373"")"),0.0)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IFERROR(__xludf.DUMMYFUNCTION("IMPORTRANGE(""https://docs.google.com/spreadsheets/d/1SX6NBoVAgQJ6U1MVXOaj8PK2l7WJ3RER9xtqwdhxkhw/edit?usp=sharing"",""ลพบุรี!I374"")"),0.0)</f>
        <v>0</v>
      </c>
      <c r="J479" s="223">
        <f>IFERROR(__xludf.DUMMYFUNCTION("IMPORTRANGE(""https://docs.google.com/spreadsheets/d/1SX6NBoVAgQJ6U1MVXOaj8PK2l7WJ3RER9xtqwdhxkhw/edit?usp=sharing"",""ลพบุรี!J374"")"),0.0)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IFERROR(__xludf.DUMMYFUNCTION("IMPORTRANGE(""https://docs.google.com/spreadsheets/d/1SX6NBoVAgQJ6U1MVXOaj8PK2l7WJ3RER9xtqwdhxkhw/edit?usp=sharing"",""ลพบุรี!I375"")"),0.0)</f>
        <v>0</v>
      </c>
      <c r="J480" s="223">
        <f>IFERROR(__xludf.DUMMYFUNCTION("IMPORTRANGE(""https://docs.google.com/spreadsheets/d/1SX6NBoVAgQJ6U1MVXOaj8PK2l7WJ3RER9xtqwdhxkhw/edit?usp=sharing"",""ลพบุรี!J375"")"),0.0)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IFERROR(__xludf.DUMMYFUNCTION("IMPORTRANGE(""https://docs.google.com/spreadsheets/d/1SX6NBoVAgQJ6U1MVXOaj8PK2l7WJ3RER9xtqwdhxkhw/edit?usp=sharing"",""ลพบุรี!I376"")"),106282.0)</f>
        <v>106282</v>
      </c>
      <c r="J481" s="453">
        <f>IFERROR(__xludf.DUMMYFUNCTION("IMPORTRANGE(""https://docs.google.com/spreadsheets/d/1SX6NBoVAgQJ6U1MVXOaj8PK2l7WJ3RER9xtqwdhxkhw/edit?usp=sharing"",""ลพบุรี!J376"")"),0.0)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IFERROR(__xludf.DUMMYFUNCTION("IMPORTRANGE(""https://docs.google.com/spreadsheets/d/1SX6NBoVAgQJ6U1MVXOaj8PK2l7WJ3RER9xtqwdhxkhw/edit?usp=sharing"",""ลพบุรี!I377"")"),6394.0)</f>
        <v>6394</v>
      </c>
      <c r="J482" s="453">
        <f>IFERROR(__xludf.DUMMYFUNCTION("IMPORTRANGE(""https://docs.google.com/spreadsheets/d/1SX6NBoVAgQJ6U1MVXOaj8PK2l7WJ3RER9xtqwdhxkhw/edit?usp=sharing"",""ลพบุรี!J377"")"),0.0)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IFERROR(__xludf.DUMMYFUNCTION("IMPORTRANGE(""https://docs.google.com/spreadsheets/d/1SX6NBoVAgQJ6U1MVXOaj8PK2l7WJ3RER9xtqwdhxkhw/edit?usp=sharing"",""ลพบุรี!I378"")"),0.0)</f>
        <v>0</v>
      </c>
      <c r="J483" s="223">
        <f>IFERROR(__xludf.DUMMYFUNCTION("IMPORTRANGE(""https://docs.google.com/spreadsheets/d/1SX6NBoVAgQJ6U1MVXOaj8PK2l7WJ3RER9xtqwdhxkhw/edit?usp=sharing"",""ลพบุรี!J378"")"),0.0)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IFERROR(__xludf.DUMMYFUNCTION("IMPORTRANGE(""https://docs.google.com/spreadsheets/d/1SX6NBoVAgQJ6U1MVXOaj8PK2l7WJ3RER9xtqwdhxkhw/edit?usp=sharing"",""ลพบุรี!I379"")"),0.0)</f>
        <v>0</v>
      </c>
      <c r="J484" s="223">
        <f>IFERROR(__xludf.DUMMYFUNCTION("IMPORTRANGE(""https://docs.google.com/spreadsheets/d/1SX6NBoVAgQJ6U1MVXOaj8PK2l7WJ3RER9xtqwdhxkhw/edit?usp=sharing"",""ลพบุรี!J379"")"),0.0)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IFERROR(__xludf.DUMMYFUNCTION("IMPORTRANGE(""https://docs.google.com/spreadsheets/d/1SX6NBoVAgQJ6U1MVXOaj8PK2l7WJ3RER9xtqwdhxkhw/edit?usp=sharing"",""ลพบุรี!I380"")"),0.0)</f>
        <v>0</v>
      </c>
      <c r="J485" s="223">
        <f>IFERROR(__xludf.DUMMYFUNCTION("IMPORTRANGE(""https://docs.google.com/spreadsheets/d/1SX6NBoVAgQJ6U1MVXOaj8PK2l7WJ3RER9xtqwdhxkhw/edit?usp=sharing"",""ลพบุรี!J380"")"),0.0)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IFERROR(__xludf.DUMMYFUNCTION("IMPORTRANGE(""https://docs.google.com/spreadsheets/d/1SX6NBoVAgQJ6U1MVXOaj8PK2l7WJ3RER9xtqwdhxkhw/edit?usp=sharing"",""ลพบุรี!I381"")"),0.0)</f>
        <v>0</v>
      </c>
      <c r="J486" s="223">
        <f>IFERROR(__xludf.DUMMYFUNCTION("IMPORTRANGE(""https://docs.google.com/spreadsheets/d/1SX6NBoVAgQJ6U1MVXOaj8PK2l7WJ3RER9xtqwdhxkhw/edit?usp=sharing"",""ลพบุรี!J381"")"),0.0)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IFERROR(__xludf.DUMMYFUNCTION("IMPORTRANGE(""https://docs.google.com/spreadsheets/d/1SX6NBoVAgQJ6U1MVXOaj8PK2l7WJ3RER9xtqwdhxkhw/edit?usp=sharing"",""ลพบุรี!I382"")"),0.0)</f>
        <v>0</v>
      </c>
      <c r="J487" s="453">
        <f>IFERROR(__xludf.DUMMYFUNCTION("IMPORTRANGE(""https://docs.google.com/spreadsheets/d/1SX6NBoVAgQJ6U1MVXOaj8PK2l7WJ3RER9xtqwdhxkhw/edit?usp=sharing"",""ลพบุรี!J382"")"),0.0)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IFERROR(__xludf.DUMMYFUNCTION("IMPORTRANGE(""https://docs.google.com/spreadsheets/d/1SX6NBoVAgQJ6U1MVXOaj8PK2l7WJ3RER9xtqwdhxkhw/edit?usp=sharing"",""ลพบุรี!I383"")"),0.0)</f>
        <v>0</v>
      </c>
      <c r="J488" s="453">
        <f>IFERROR(__xludf.DUMMYFUNCTION("IMPORTRANGE(""https://docs.google.com/spreadsheets/d/1SX6NBoVAgQJ6U1MVXOaj8PK2l7WJ3RER9xtqwdhxkhw/edit?usp=sharing"",""ลพบุรี!J383"")"),0.0)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IFERROR(__xludf.DUMMYFUNCTION("IMPORTRANGE(""https://docs.google.com/spreadsheets/d/1SX6NBoVAgQJ6U1MVXOaj8PK2l7WJ3RER9xtqwdhxkhw/edit?usp=sharing"",""ลพบุรี!I384"")"),0.0)</f>
        <v>0</v>
      </c>
      <c r="J489" s="223">
        <f>IFERROR(__xludf.DUMMYFUNCTION("IMPORTRANGE(""https://docs.google.com/spreadsheets/d/1SX6NBoVAgQJ6U1MVXOaj8PK2l7WJ3RER9xtqwdhxkhw/edit?usp=sharing"",""ลพบุรี!J384"")"),0.0)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IFERROR(__xludf.DUMMYFUNCTION("IMPORTRANGE(""https://docs.google.com/spreadsheets/d/1SX6NBoVAgQJ6U1MVXOaj8PK2l7WJ3RER9xtqwdhxkhw/edit?usp=sharing"",""ลพบุรี!I385"")"),0.0)</f>
        <v>0</v>
      </c>
      <c r="J490" s="223">
        <f>IFERROR(__xludf.DUMMYFUNCTION("IMPORTRANGE(""https://docs.google.com/spreadsheets/d/1SX6NBoVAgQJ6U1MVXOaj8PK2l7WJ3RER9xtqwdhxkhw/edit?usp=sharing"",""ลพบุรี!J385"")"),0.0)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IFERROR(__xludf.DUMMYFUNCTION("IMPORTRANGE(""https://docs.google.com/spreadsheets/d/1SX6NBoVAgQJ6U1MVXOaj8PK2l7WJ3RER9xtqwdhxkhw/edit?usp=sharing"",""ลพบุรี!I386"")"),0.0)</f>
        <v>0</v>
      </c>
      <c r="J491" s="223">
        <f>IFERROR(__xludf.DUMMYFUNCTION("IMPORTRANGE(""https://docs.google.com/spreadsheets/d/1SX6NBoVAgQJ6U1MVXOaj8PK2l7WJ3RER9xtqwdhxkhw/edit?usp=sharing"",""ลพบุรี!J386"")"),0.0)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IFERROR(__xludf.DUMMYFUNCTION("IMPORTRANGE(""https://docs.google.com/spreadsheets/d/1SX6NBoVAgQJ6U1MVXOaj8PK2l7WJ3RER9xtqwdhxkhw/edit?usp=sharing"",""ลพบุรี!I387"")"),0.0)</f>
        <v>0</v>
      </c>
      <c r="J492" s="223">
        <f>IFERROR(__xludf.DUMMYFUNCTION("IMPORTRANGE(""https://docs.google.com/spreadsheets/d/1SX6NBoVAgQJ6U1MVXOaj8PK2l7WJ3RER9xtqwdhxkhw/edit?usp=sharing"",""ลพบุรี!J387"")"),0.0)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IFERROR(__xludf.DUMMYFUNCTION("IMPORTRANGE(""https://docs.google.com/spreadsheets/d/1SX6NBoVAgQJ6U1MVXOaj8PK2l7WJ3RER9xtqwdhxkhw/edit?usp=sharing"",""ลพบุรี!I388"")"),0.0)</f>
        <v>0</v>
      </c>
      <c r="J493" s="223">
        <f>IFERROR(__xludf.DUMMYFUNCTION("IMPORTRANGE(""https://docs.google.com/spreadsheets/d/1SX6NBoVAgQJ6U1MVXOaj8PK2l7WJ3RER9xtqwdhxkhw/edit?usp=sharing"",""ลพบุรี!J388"")"),0.0)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IFERROR(__xludf.DUMMYFUNCTION("IMPORTRANGE(""https://docs.google.com/spreadsheets/d/1SX6NBoVAgQJ6U1MVXOaj8PK2l7WJ3RER9xtqwdhxkhw/edit?usp=sharing"",""ลพบุรี!I389"")"),0.0)</f>
        <v>0</v>
      </c>
      <c r="J494" s="469">
        <f>IFERROR(__xludf.DUMMYFUNCTION("IMPORTRANGE(""https://docs.google.com/spreadsheets/d/1SX6NBoVAgQJ6U1MVXOaj8PK2l7WJ3RER9xtqwdhxkhw/edit?usp=sharing"",""ลพบุรี!J389"")"),0.0)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IFERROR(__xludf.DUMMYFUNCTION("IMPORTRANGE(""https://docs.google.com/spreadsheets/d/1SX6NBoVAgQJ6U1MVXOaj8PK2l7WJ3RER9xtqwdhxkhw/edit?usp=sharing"",""ลพบุรี!I390"")"),0.0)</f>
        <v>0</v>
      </c>
      <c r="J495" s="469">
        <f>IFERROR(__xludf.DUMMYFUNCTION("IMPORTRANGE(""https://docs.google.com/spreadsheets/d/1SX6NBoVAgQJ6U1MVXOaj8PK2l7WJ3RER9xtqwdhxkhw/edit?usp=sharing"",""ลพบุรี!J390"")"),0.0)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IFERROR(__xludf.DUMMYFUNCTION("IMPORTRANGE(""https://docs.google.com/spreadsheets/d/1SX6NBoVAgQJ6U1MVXOaj8PK2l7WJ3RER9xtqwdhxkhw/edit?usp=sharing"",""ลพบุรี!I391"")"),0.0)</f>
        <v>0</v>
      </c>
      <c r="J496" s="469">
        <f>IFERROR(__xludf.DUMMYFUNCTION("IMPORTRANGE(""https://docs.google.com/spreadsheets/d/1SX6NBoVAgQJ6U1MVXOaj8PK2l7WJ3RER9xtqwdhxkhw/edit?usp=sharing"",""ลพบุรี!J391"")"),0.0)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IFERROR(__xludf.DUMMYFUNCTION("IMPORTRANGE(""https://docs.google.com/spreadsheets/d/1SX6NBoVAgQJ6U1MVXOaj8PK2l7WJ3RER9xtqwdhxkhw/edit?usp=sharing"",""ลพบุรี!I392"")"),5605.0)</f>
        <v>5605</v>
      </c>
      <c r="J497" s="476">
        <f>IFERROR(__xludf.DUMMYFUNCTION("IMPORTRANGE(""https://docs.google.com/spreadsheets/d/1SX6NBoVAgQJ6U1MVXOaj8PK2l7WJ3RER9xtqwdhxkhw/edit?usp=sharing"",""ลพบุรี!J392"")"),0.0)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IFERROR(__xludf.DUMMYFUNCTION("IMPORTRANGE(""https://docs.google.com/spreadsheets/d/1SX6NBoVAgQJ6U1MVXOaj8PK2l7WJ3RER9xtqwdhxkhw/edit?usp=sharing"",""ลพบุรี!I393"")"),5605.0)</f>
        <v>5605</v>
      </c>
      <c r="J498" s="453">
        <f>IFERROR(__xludf.DUMMYFUNCTION("IMPORTRANGE(""https://docs.google.com/spreadsheets/d/1SX6NBoVAgQJ6U1MVXOaj8PK2l7WJ3RER9xtqwdhxkhw/edit?usp=sharing"",""ลพบุรี!J393"")"),0.0)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IFERROR(__xludf.DUMMYFUNCTION("IMPORTRANGE(""https://docs.google.com/spreadsheets/d/1SX6NBoVAgQJ6U1MVXOaj8PK2l7WJ3RER9xtqwdhxkhw/edit?usp=sharing"",""ลพบุรี!I394"")"),328.0)</f>
        <v>328</v>
      </c>
      <c r="J499" s="453">
        <f>IFERROR(__xludf.DUMMYFUNCTION("IMPORTRANGE(""https://docs.google.com/spreadsheets/d/1SX6NBoVAgQJ6U1MVXOaj8PK2l7WJ3RER9xtqwdhxkhw/edit?usp=sharing"",""ลพบุรี!J394"")"),0.0)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IFERROR(__xludf.DUMMYFUNCTION("IMPORTRANGE(""https://docs.google.com/spreadsheets/d/1SX6NBoVAgQJ6U1MVXOaj8PK2l7WJ3RER9xtqwdhxkhw/edit?usp=sharing"",""ลพบุรี!I395"")"),0.0)</f>
        <v>0</v>
      </c>
      <c r="J500" s="195">
        <f>IFERROR(__xludf.DUMMYFUNCTION("IMPORTRANGE(""https://docs.google.com/spreadsheets/d/1SX6NBoVAgQJ6U1MVXOaj8PK2l7WJ3RER9xtqwdhxkhw/edit?usp=sharing"",""ลพบุรี!J395"")"),0.0)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IFERROR(__xludf.DUMMYFUNCTION("IMPORTRANGE(""https://docs.google.com/spreadsheets/d/1SX6NBoVAgQJ6U1MVXOaj8PK2l7WJ3RER9xtqwdhxkhw/edit?usp=sharing"",""ลพบุรี!I396"")"),0.0)</f>
        <v>0</v>
      </c>
      <c r="J501" s="195">
        <f>IFERROR(__xludf.DUMMYFUNCTION("IMPORTRANGE(""https://docs.google.com/spreadsheets/d/1SX6NBoVAgQJ6U1MVXOaj8PK2l7WJ3RER9xtqwdhxkhw/edit?usp=sharing"",""ลพบุรี!J396"")"),0.0)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IFERROR(__xludf.DUMMYFUNCTION("IMPORTRANGE(""https://docs.google.com/spreadsheets/d/1SX6NBoVAgQJ6U1MVXOaj8PK2l7WJ3RER9xtqwdhxkhw/edit?usp=sharing"",""ลพบุรี!I397"")"),0.0)</f>
        <v>0</v>
      </c>
      <c r="J502" s="223">
        <f>IFERROR(__xludf.DUMMYFUNCTION("IMPORTRANGE(""https://docs.google.com/spreadsheets/d/1SX6NBoVAgQJ6U1MVXOaj8PK2l7WJ3RER9xtqwdhxkhw/edit?usp=sharing"",""ลพบุรี!J397"")"),0.0)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IFERROR(__xludf.DUMMYFUNCTION("IMPORTRANGE(""https://docs.google.com/spreadsheets/d/1SX6NBoVAgQJ6U1MVXOaj8PK2l7WJ3RER9xtqwdhxkhw/edit?usp=sharing"",""ลพบุรี!I398"")"),0.0)</f>
        <v>0</v>
      </c>
      <c r="J503" s="232">
        <f>IFERROR(__xludf.DUMMYFUNCTION("IMPORTRANGE(""https://docs.google.com/spreadsheets/d/1SX6NBoVAgQJ6U1MVXOaj8PK2l7WJ3RER9xtqwdhxkhw/edit?usp=sharing"",""ลพบุรี!J398"")"),0.0)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IFERROR(__xludf.DUMMYFUNCTION("IMPORTRANGE(""https://docs.google.com/spreadsheets/d/1SX6NBoVAgQJ6U1MVXOaj8PK2l7WJ3RER9xtqwdhxkhw/edit?usp=sharing"",""ลพบุรี!I399"")"),0.0)</f>
        <v>0</v>
      </c>
      <c r="J504" s="223">
        <f>IFERROR(__xludf.DUMMYFUNCTION("IMPORTRANGE(""https://docs.google.com/spreadsheets/d/1SX6NBoVAgQJ6U1MVXOaj8PK2l7WJ3RER9xtqwdhxkhw/edit?usp=sharing"",""ลพบุรี!J399"")"),0.0)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IFERROR(__xludf.DUMMYFUNCTION("IMPORTRANGE(""https://docs.google.com/spreadsheets/d/1SX6NBoVAgQJ6U1MVXOaj8PK2l7WJ3RER9xtqwdhxkhw/edit?usp=sharing"",""ลพบุรี!I400"")"),0.0)</f>
        <v>0</v>
      </c>
      <c r="J505" s="232">
        <f>IFERROR(__xludf.DUMMYFUNCTION("IMPORTRANGE(""https://docs.google.com/spreadsheets/d/1SX6NBoVAgQJ6U1MVXOaj8PK2l7WJ3RER9xtqwdhxkhw/edit?usp=sharing"",""ลพบุรี!J400"")"),0.0)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IFERROR(__xludf.DUMMYFUNCTION("IMPORTRANGE(""https://docs.google.com/spreadsheets/d/1SX6NBoVAgQJ6U1MVXOaj8PK2l7WJ3RER9xtqwdhxkhw/edit?usp=sharing"",""ลพบุรี!I401"")"),0.0)</f>
        <v>0</v>
      </c>
      <c r="J506" s="223">
        <f>IFERROR(__xludf.DUMMYFUNCTION("IMPORTRANGE(""https://docs.google.com/spreadsheets/d/1SX6NBoVAgQJ6U1MVXOaj8PK2l7WJ3RER9xtqwdhxkhw/edit?usp=sharing"",""ลพบุรี!J401"")"),0.0)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IFERROR(__xludf.DUMMYFUNCTION("IMPORTRANGE(""https://docs.google.com/spreadsheets/d/1SX6NBoVAgQJ6U1MVXOaj8PK2l7WJ3RER9xtqwdhxkhw/edit?usp=sharing"",""ลพบุรี!I402"")"),0.0)</f>
        <v>0</v>
      </c>
      <c r="J507" s="232">
        <f>IFERROR(__xludf.DUMMYFUNCTION("IMPORTRANGE(""https://docs.google.com/spreadsheets/d/1SX6NBoVAgQJ6U1MVXOaj8PK2l7WJ3RER9xtqwdhxkhw/edit?usp=sharing"",""ลพบุรี!J402"")"),0.0)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IFERROR(__xludf.DUMMYFUNCTION("IMPORTRANGE(""https://docs.google.com/spreadsheets/d/1SX6NBoVAgQJ6U1MVXOaj8PK2l7WJ3RER9xtqwdhxkhw/edit?usp=sharing"",""ลพบุรี!I403"")"),0.0)</f>
        <v>0</v>
      </c>
      <c r="J508" s="195">
        <f>IFERROR(__xludf.DUMMYFUNCTION("IMPORTRANGE(""https://docs.google.com/spreadsheets/d/1SX6NBoVAgQJ6U1MVXOaj8PK2l7WJ3RER9xtqwdhxkhw/edit?usp=sharing"",""ลพบุรี!J403"")"),0.0)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IFERROR(__xludf.DUMMYFUNCTION("IMPORTRANGE(""https://docs.google.com/spreadsheets/d/1SX6NBoVAgQJ6U1MVXOaj8PK2l7WJ3RER9xtqwdhxkhw/edit?usp=sharing"",""ลพบุรี!I404"")"),0.0)</f>
        <v>0</v>
      </c>
      <c r="J509" s="195">
        <f>IFERROR(__xludf.DUMMYFUNCTION("IMPORTRANGE(""https://docs.google.com/spreadsheets/d/1SX6NBoVAgQJ6U1MVXOaj8PK2l7WJ3RER9xtqwdhxkhw/edit?usp=sharing"",""ลพบุรี!J404"")"),0.0)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IFERROR(__xludf.DUMMYFUNCTION("IMPORTRANGE(""https://docs.google.com/spreadsheets/d/1SX6NBoVAgQJ6U1MVXOaj8PK2l7WJ3RER9xtqwdhxkhw/edit?usp=sharing"",""ลพบุรี!I405"")"),0.0)</f>
        <v>0</v>
      </c>
      <c r="J510" s="232">
        <f>IFERROR(__xludf.DUMMYFUNCTION("IMPORTRANGE(""https://docs.google.com/spreadsheets/d/1SX6NBoVAgQJ6U1MVXOaj8PK2l7WJ3RER9xtqwdhxkhw/edit?usp=sharing"",""ลพบุรี!J405"")"),0.0)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IFERROR(__xludf.DUMMYFUNCTION("IMPORTRANGE(""https://docs.google.com/spreadsheets/d/1SX6NBoVAgQJ6U1MVXOaj8PK2l7WJ3RER9xtqwdhxkhw/edit?usp=sharing"",""ลพบุรี!I406"")"),0.0)</f>
        <v>0</v>
      </c>
      <c r="J511" s="232">
        <f>IFERROR(__xludf.DUMMYFUNCTION("IMPORTRANGE(""https://docs.google.com/spreadsheets/d/1SX6NBoVAgQJ6U1MVXOaj8PK2l7WJ3RER9xtqwdhxkhw/edit?usp=sharing"",""ลพบุรี!J406"")"),0.0)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IFERROR(__xludf.DUMMYFUNCTION("IMPORTRANGE(""https://docs.google.com/spreadsheets/d/1SX6NBoVAgQJ6U1MVXOaj8PK2l7WJ3RER9xtqwdhxkhw/edit?usp=sharing"",""ลพบุรี!I407"")"),0.0)</f>
        <v>0</v>
      </c>
      <c r="J512" s="232">
        <f>IFERROR(__xludf.DUMMYFUNCTION("IMPORTRANGE(""https://docs.google.com/spreadsheets/d/1SX6NBoVAgQJ6U1MVXOaj8PK2l7WJ3RER9xtqwdhxkhw/edit?usp=sharing"",""ลพบุรี!J407"")"),0.0)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IFERROR(__xludf.DUMMYFUNCTION("IMPORTRANGE(""https://docs.google.com/spreadsheets/d/1SX6NBoVAgQJ6U1MVXOaj8PK2l7WJ3RER9xtqwdhxkhw/edit?usp=sharing"",""ลพบุรี!I408"")"),0.0)</f>
        <v>0</v>
      </c>
      <c r="J513" s="232">
        <f>IFERROR(__xludf.DUMMYFUNCTION("IMPORTRANGE(""https://docs.google.com/spreadsheets/d/1SX6NBoVAgQJ6U1MVXOaj8PK2l7WJ3RER9xtqwdhxkhw/edit?usp=sharing"",""ลพบุรี!J408"")"),0.0)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IFERROR(__xludf.DUMMYFUNCTION("IMPORTRANGE(""https://docs.google.com/spreadsheets/d/1SX6NBoVAgQJ6U1MVXOaj8PK2l7WJ3RER9xtqwdhxkhw/edit?usp=sharing"",""ลพบุรี!I409"")"),0.0)</f>
        <v>0</v>
      </c>
      <c r="J514" s="232">
        <f>IFERROR(__xludf.DUMMYFUNCTION("IMPORTRANGE(""https://docs.google.com/spreadsheets/d/1SX6NBoVAgQJ6U1MVXOaj8PK2l7WJ3RER9xtqwdhxkhw/edit?usp=sharing"",""ลพบุรี!J409"")"),0.0)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IFERROR(__xludf.DUMMYFUNCTION("IMPORTRANGE(""https://docs.google.com/spreadsheets/d/1SX6NBoVAgQJ6U1MVXOaj8PK2l7WJ3RER9xtqwdhxkhw/edit?usp=sharing"",""ลพบุรี!I410"")"),0.0)</f>
        <v>0</v>
      </c>
      <c r="J515" s="232">
        <f>IFERROR(__xludf.DUMMYFUNCTION("IMPORTRANGE(""https://docs.google.com/spreadsheets/d/1SX6NBoVAgQJ6U1MVXOaj8PK2l7WJ3RER9xtqwdhxkhw/edit?usp=sharing"",""ลพบุรี!J410"")"),0.0)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IFERROR(__xludf.DUMMYFUNCTION("IMPORTRANGE(""https://docs.google.com/spreadsheets/d/1SX6NBoVAgQJ6U1MVXOaj8PK2l7WJ3RER9xtqwdhxkhw/edit?usp=sharing"",""ลพบุรี!I411"")"),0.0)</f>
        <v>0</v>
      </c>
      <c r="J516" s="301">
        <f>IFERROR(__xludf.DUMMYFUNCTION("IMPORTRANGE(""https://docs.google.com/spreadsheets/d/1SX6NBoVAgQJ6U1MVXOaj8PK2l7WJ3RER9xtqwdhxkhw/edit?usp=sharing"",""ลพบุรี!J411"")"),0.0)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IFERROR(__xludf.DUMMYFUNCTION("IMPORTRANGE(""https://docs.google.com/spreadsheets/d/1SX6NBoVAgQJ6U1MVXOaj8PK2l7WJ3RER9xtqwdhxkhw/edit?usp=sharing"",""ลพบุรี!I412"")"),0.0)</f>
        <v>0</v>
      </c>
      <c r="J517" s="317">
        <f>IFERROR(__xludf.DUMMYFUNCTION("IMPORTRANGE(""https://docs.google.com/spreadsheets/d/1SX6NBoVAgQJ6U1MVXOaj8PK2l7WJ3RER9xtqwdhxkhw/edit?usp=sharing"",""ลพบุรี!J412"")"),0.0)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IFERROR(__xludf.DUMMYFUNCTION("IMPORTRANGE(""https://docs.google.com/spreadsheets/d/1SX6NBoVAgQJ6U1MVXOaj8PK2l7WJ3RER9xtqwdhxkhw/edit?usp=sharing"",""ลพบุรี!I413"")"),0.0)</f>
        <v>0</v>
      </c>
      <c r="J518" s="317">
        <f>IFERROR(__xludf.DUMMYFUNCTION("IMPORTRANGE(""https://docs.google.com/spreadsheets/d/1SX6NBoVAgQJ6U1MVXOaj8PK2l7WJ3RER9xtqwdhxkhw/edit?usp=sharing"",""ลพบุรี!J413"")"),0.0)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IFERROR(__xludf.DUMMYFUNCTION("IMPORTRANGE(""https://docs.google.com/spreadsheets/d/1SX6NBoVAgQJ6U1MVXOaj8PK2l7WJ3RER9xtqwdhxkhw/edit?usp=sharing"",""ลพบุรี!I414"")"),0.0)</f>
        <v>0</v>
      </c>
      <c r="J519" s="222">
        <f>IFERROR(__xludf.DUMMYFUNCTION("IMPORTRANGE(""https://docs.google.com/spreadsheets/d/1SX6NBoVAgQJ6U1MVXOaj8PK2l7WJ3RER9xtqwdhxkhw/edit?usp=sharing"",""ลพบุรี!J414"")"),0.0)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IFERROR(__xludf.DUMMYFUNCTION("IMPORTRANGE(""https://docs.google.com/spreadsheets/d/1SX6NBoVAgQJ6U1MVXOaj8PK2l7WJ3RER9xtqwdhxkhw/edit?usp=sharing"",""ลพบุรี!I415"")"),0.0)</f>
        <v>0</v>
      </c>
      <c r="J520" s="222">
        <f>IFERROR(__xludf.DUMMYFUNCTION("IMPORTRANGE(""https://docs.google.com/spreadsheets/d/1SX6NBoVAgQJ6U1MVXOaj8PK2l7WJ3RER9xtqwdhxkhw/edit?usp=sharing"",""ลพบุรี!J415"")"),0.0)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IFERROR(__xludf.DUMMYFUNCTION("IMPORTRANGE(""https://docs.google.com/spreadsheets/d/1SX6NBoVAgQJ6U1MVXOaj8PK2l7WJ3RER9xtqwdhxkhw/edit?usp=sharing"",""ลพบุรี!I416"")"),0.0)</f>
        <v>0</v>
      </c>
      <c r="J521" s="222">
        <f>IFERROR(__xludf.DUMMYFUNCTION("IMPORTRANGE(""https://docs.google.com/spreadsheets/d/1SX6NBoVAgQJ6U1MVXOaj8PK2l7WJ3RER9xtqwdhxkhw/edit?usp=sharing"",""ลพบุรี!J416"")"),0.0)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IFERROR(__xludf.DUMMYFUNCTION("IMPORTRANGE(""https://docs.google.com/spreadsheets/d/1SX6NBoVAgQJ6U1MVXOaj8PK2l7WJ3RER9xtqwdhxkhw/edit?usp=sharing"",""ลพบุรี!I417"")"),0.0)</f>
        <v>0</v>
      </c>
      <c r="J522" s="222">
        <f>IFERROR(__xludf.DUMMYFUNCTION("IMPORTRANGE(""https://docs.google.com/spreadsheets/d/1SX6NBoVAgQJ6U1MVXOaj8PK2l7WJ3RER9xtqwdhxkhw/edit?usp=sharing"",""ลพบุรี!J417"")"),0.0)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IFERROR(__xludf.DUMMYFUNCTION("IMPORTRANGE(""https://docs.google.com/spreadsheets/d/1SX6NBoVAgQJ6U1MVXOaj8PK2l7WJ3RER9xtqwdhxkhw/edit?usp=sharing"",""ลพบุรี!I418"")"),0.0)</f>
        <v>0</v>
      </c>
      <c r="J523" s="222">
        <f>IFERROR(__xludf.DUMMYFUNCTION("IMPORTRANGE(""https://docs.google.com/spreadsheets/d/1SX6NBoVAgQJ6U1MVXOaj8PK2l7WJ3RER9xtqwdhxkhw/edit?usp=sharing"",""ลพบุรี!J418"")"),0.0)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IFERROR(__xludf.DUMMYFUNCTION("IMPORTRANGE(""https://docs.google.com/spreadsheets/d/1SX6NBoVAgQJ6U1MVXOaj8PK2l7WJ3RER9xtqwdhxkhw/edit?usp=sharing"",""ลพบุรี!I419"")"),0.0)</f>
        <v>0</v>
      </c>
      <c r="J524" s="222">
        <f>IFERROR(__xludf.DUMMYFUNCTION("IMPORTRANGE(""https://docs.google.com/spreadsheets/d/1SX6NBoVAgQJ6U1MVXOaj8PK2l7WJ3RER9xtqwdhxkhw/edit?usp=sharing"",""ลพบุรี!J419"")"),0.0)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IFERROR(__xludf.DUMMYFUNCTION("IMPORTRANGE(""https://docs.google.com/spreadsheets/d/1SX6NBoVAgQJ6U1MVXOaj8PK2l7WJ3RER9xtqwdhxkhw/edit?usp=sharing"",""ลพบุรี!I420"")"),0.0)</f>
        <v>0</v>
      </c>
      <c r="J525" s="317">
        <f>IFERROR(__xludf.DUMMYFUNCTION("IMPORTRANGE(""https://docs.google.com/spreadsheets/d/1SX6NBoVAgQJ6U1MVXOaj8PK2l7WJ3RER9xtqwdhxkhw/edit?usp=sharing"",""ลพบุรี!J420"")"),0.0)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IFERROR(__xludf.DUMMYFUNCTION("IMPORTRANGE(""https://docs.google.com/spreadsheets/d/1SX6NBoVAgQJ6U1MVXOaj8PK2l7WJ3RER9xtqwdhxkhw/edit?usp=sharing"",""ลพบุรี!I421"")"),0.0)</f>
        <v>0</v>
      </c>
      <c r="J526" s="317">
        <f>IFERROR(__xludf.DUMMYFUNCTION("IMPORTRANGE(""https://docs.google.com/spreadsheets/d/1SX6NBoVAgQJ6U1MVXOaj8PK2l7WJ3RER9xtqwdhxkhw/edit?usp=sharing"",""ลพบุรี!J421"")"),0.0)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IFERROR(__xludf.DUMMYFUNCTION("IMPORTRANGE(""https://docs.google.com/spreadsheets/d/1SX6NBoVAgQJ6U1MVXOaj8PK2l7WJ3RER9xtqwdhxkhw/edit?usp=sharing"",""ลพบุรี!I422"")"),0.0)</f>
        <v>0</v>
      </c>
      <c r="J527" s="232">
        <f>IFERROR(__xludf.DUMMYFUNCTION("IMPORTRANGE(""https://docs.google.com/spreadsheets/d/1SX6NBoVAgQJ6U1MVXOaj8PK2l7WJ3RER9xtqwdhxkhw/edit?usp=sharing"",""ลพบุรี!J422"")"),0.0)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IFERROR(__xludf.DUMMYFUNCTION("IMPORTRANGE(""https://docs.google.com/spreadsheets/d/1SX6NBoVAgQJ6U1MVXOaj8PK2l7WJ3RER9xtqwdhxkhw/edit?usp=sharing"",""ลพบุรี!I423"")"),0.0)</f>
        <v>0</v>
      </c>
      <c r="J528" s="232">
        <f>IFERROR(__xludf.DUMMYFUNCTION("IMPORTRANGE(""https://docs.google.com/spreadsheets/d/1SX6NBoVAgQJ6U1MVXOaj8PK2l7WJ3RER9xtqwdhxkhw/edit?usp=sharing"",""ลพบุรี!J423"")"),0.0)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IFERROR(__xludf.DUMMYFUNCTION("IMPORTRANGE(""https://docs.google.com/spreadsheets/d/1SX6NBoVAgQJ6U1MVXOaj8PK2l7WJ3RER9xtqwdhxkhw/edit?usp=sharing"",""ลพบุรี!I424"")"),0.0)</f>
        <v>0</v>
      </c>
      <c r="J529" s="232">
        <f>IFERROR(__xludf.DUMMYFUNCTION("IMPORTRANGE(""https://docs.google.com/spreadsheets/d/1SX6NBoVAgQJ6U1MVXOaj8PK2l7WJ3RER9xtqwdhxkhw/edit?usp=sharing"",""ลพบุรี!J424"")"),0.0)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IFERROR(__xludf.DUMMYFUNCTION("IMPORTRANGE(""https://docs.google.com/spreadsheets/d/1SX6NBoVAgQJ6U1MVXOaj8PK2l7WJ3RER9xtqwdhxkhw/edit?usp=sharing"",""ลพบุรี!I425"")"),0.0)</f>
        <v>0</v>
      </c>
      <c r="J530" s="232">
        <f>IFERROR(__xludf.DUMMYFUNCTION("IMPORTRANGE(""https://docs.google.com/spreadsheets/d/1SX6NBoVAgQJ6U1MVXOaj8PK2l7WJ3RER9xtqwdhxkhw/edit?usp=sharing"",""ลพบุรี!J425"")"),0.0)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IFERROR(__xludf.DUMMYFUNCTION("IMPORTRANGE(""https://docs.google.com/spreadsheets/d/1SX6NBoVAgQJ6U1MVXOaj8PK2l7WJ3RER9xtqwdhxkhw/edit?usp=sharing"",""ลพบุรี!I426"")"),0.0)</f>
        <v>0</v>
      </c>
      <c r="J531" s="232">
        <f>IFERROR(__xludf.DUMMYFUNCTION("IMPORTRANGE(""https://docs.google.com/spreadsheets/d/1SX6NBoVAgQJ6U1MVXOaj8PK2l7WJ3RER9xtqwdhxkhw/edit?usp=sharing"",""ลพบุรี!J426"")"),0.0)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IFERROR(__xludf.DUMMYFUNCTION("IMPORTRANGE(""https://docs.google.com/spreadsheets/d/1SX6NBoVAgQJ6U1MVXOaj8PK2l7WJ3RER9xtqwdhxkhw/edit?usp=sharing"",""ลพบุรี!I427"")"),0.0)</f>
        <v>0</v>
      </c>
      <c r="J532" s="499">
        <f>IFERROR(__xludf.DUMMYFUNCTION("IMPORTRANGE(""https://docs.google.com/spreadsheets/d/1SX6NBoVAgQJ6U1MVXOaj8PK2l7WJ3RER9xtqwdhxkhw/edit?usp=sharing"",""ลพบุรี!J427"")"),0.0)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IFERROR(__xludf.DUMMYFUNCTION("IMPORTRANGE(""https://docs.google.com/spreadsheets/d/1SX6NBoVAgQJ6U1MVXOaj8PK2l7WJ3RER9xtqwdhxkhw/edit?usp=sharing"",""ลพบุรี!I428"")"),22.0)</f>
        <v>22</v>
      </c>
      <c r="J533" s="443">
        <f>IFERROR(__xludf.DUMMYFUNCTION("IMPORTRANGE(""https://docs.google.com/spreadsheets/d/1SX6NBoVAgQJ6U1MVXOaj8PK2l7WJ3RER9xtqwdhxkhw/edit?usp=sharing"",""ลพบุรี!J428"")"),22.0)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IFERROR(__xludf.DUMMYFUNCTION("IMPORTRANGE(""https://docs.google.com/spreadsheets/d/1SX6NBoVAgQJ6U1MVXOaj8PK2l7WJ3RER9xtqwdhxkhw/edit?usp=sharing"",""ลพบุรี!L428"")"),34340.0)</f>
        <v>34340</v>
      </c>
      <c r="M533" s="445"/>
      <c r="N533" s="445">
        <f>IFERROR(__xludf.DUMMYFUNCTION("IMPORTRANGE(""https://docs.google.com/spreadsheets/d/1SX6NBoVAgQJ6U1MVXOaj8PK2l7WJ3RER9xtqwdhxkhw/edit?usp=sharing"",""ลพบุรี!M428"")"),21220.0)</f>
        <v>21220</v>
      </c>
      <c r="O533" s="445">
        <f t="shared" ref="O533:O537" si="119">+IF(L533&gt;0,N533*100/L533,0)</f>
        <v>61.79382644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IFERROR(__xludf.DUMMYFUNCTION("IMPORTRANGE(""https://docs.google.com/spreadsheets/d/1SX6NBoVAgQJ6U1MVXOaj8PK2l7WJ3RER9xtqwdhxkhw/edit?usp=sharing"",""ลพบุรี!L429"")"),0.0)</f>
        <v>0</v>
      </c>
      <c r="M534" s="197"/>
      <c r="N534" s="203">
        <f>IFERROR(__xludf.DUMMYFUNCTION("IMPORTRANGE(""https://docs.google.com/spreadsheets/d/1SX6NBoVAgQJ6U1MVXOaj8PK2l7WJ3RER9xtqwdhxkhw/edit?usp=sharing"",""ลพบุรี!M429"")"),0.0)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IFERROR(__xludf.DUMMYFUNCTION("IMPORTRANGE(""https://docs.google.com/spreadsheets/d/1SX6NBoVAgQJ6U1MVXOaj8PK2l7WJ3RER9xtqwdhxkhw/edit?usp=sharing"",""ลพบุรี!L430"")"),34340.0)</f>
        <v>34340</v>
      </c>
      <c r="M535" s="198"/>
      <c r="N535" s="203">
        <f>IFERROR(__xludf.DUMMYFUNCTION("IMPORTRANGE(""https://docs.google.com/spreadsheets/d/1SX6NBoVAgQJ6U1MVXOaj8PK2l7WJ3RER9xtqwdhxkhw/edit?usp=sharing"",""ลพบุรี!M430"")"),21220.0)</f>
        <v>21220</v>
      </c>
      <c r="O535" s="203">
        <f t="shared" si="119"/>
        <v>61.79382644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IFERROR(__xludf.DUMMYFUNCTION("IMPORTRANGE(""https://docs.google.com/spreadsheets/d/1SX6NBoVAgQJ6U1MVXOaj8PK2l7WJ3RER9xtqwdhxkhw/edit?usp=sharing"",""ลพบุรี!L431"")"),0.0)</f>
        <v>0</v>
      </c>
      <c r="M536" s="203"/>
      <c r="N536" s="203">
        <f>IFERROR(__xludf.DUMMYFUNCTION("IMPORTRANGE(""https://docs.google.com/spreadsheets/d/1SX6NBoVAgQJ6U1MVXOaj8PK2l7WJ3RER9xtqwdhxkhw/edit?usp=sharing"",""ลพบุรี!M431"")"),0.0)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IFERROR(__xludf.DUMMYFUNCTION("IMPORTRANGE(""https://docs.google.com/spreadsheets/d/1SX6NBoVAgQJ6U1MVXOaj8PK2l7WJ3RER9xtqwdhxkhw/edit?usp=sharing"",""ลพบุรี!L432"")"),34340.0)</f>
        <v>34340</v>
      </c>
      <c r="M537" s="203"/>
      <c r="N537" s="203">
        <f>IFERROR(__xludf.DUMMYFUNCTION("IMPORTRANGE(""https://docs.google.com/spreadsheets/d/1SX6NBoVAgQJ6U1MVXOaj8PK2l7WJ3RER9xtqwdhxkhw/edit?usp=sharing"",""ลพบุรี!M432"")"),21220.0)</f>
        <v>21220</v>
      </c>
      <c r="O537" s="203">
        <f t="shared" si="119"/>
        <v>61.79382644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IFERROR(__xludf.DUMMYFUNCTION("IMPORTRANGE(""https://docs.google.com/spreadsheets/d/1SX6NBoVAgQJ6U1MVXOaj8PK2l7WJ3RER9xtqwdhxkhw/edit?usp=sharing"",""ลพบุรี!M433"")"),18740.0)</f>
        <v>18740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IFERROR(__xludf.DUMMYFUNCTION("IMPORTRANGE(""https://docs.google.com/spreadsheets/d/1SX6NBoVAgQJ6U1MVXOaj8PK2l7WJ3RER9xtqwdhxkhw/edit?usp=sharing"",""ลพบุรี!M434"")"),0.0)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IFERROR(__xludf.DUMMYFUNCTION("IMPORTRANGE(""https://docs.google.com/spreadsheets/d/1SX6NBoVAgQJ6U1MVXOaj8PK2l7WJ3RER9xtqwdhxkhw/edit?usp=sharing"",""ลพบุรี!M435"")"),0.0)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IFERROR(__xludf.DUMMYFUNCTION("IMPORTRANGE(""https://docs.google.com/spreadsheets/d/1SX6NBoVAgQJ6U1MVXOaj8PK2l7WJ3RER9xtqwdhxkhw/edit?usp=sharing"",""ลพบุรี!M436"")"),2480.0)</f>
        <v>2480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IFERROR(__xludf.DUMMYFUNCTION("IMPORTRANGE(""https://docs.google.com/spreadsheets/d/1SX6NBoVAgQJ6U1MVXOaj8PK2l7WJ3RER9xtqwdhxkhw/edit?usp=sharing"",""ลพบุรี!J438"")"),0.0)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IFERROR(__xludf.DUMMYFUNCTION("IMPORTRANGE(""https://docs.google.com/spreadsheets/d/1SX6NBoVAgQJ6U1MVXOaj8PK2l7WJ3RER9xtqwdhxkhw/edit?usp=sharing"",""ลพบุรี!J439"")"),0.0)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IFERROR(__xludf.DUMMYFUNCTION("IMPORTRANGE(""https://docs.google.com/spreadsheets/d/1SX6NBoVAgQJ6U1MVXOaj8PK2l7WJ3RER9xtqwdhxkhw/edit?usp=sharing"",""ลพบุรี!J440"")"),1.0)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IFERROR(__xludf.DUMMYFUNCTION("IMPORTRANGE(""https://docs.google.com/spreadsheets/d/1SX6NBoVAgQJ6U1MVXOaj8PK2l7WJ3RER9xtqwdhxkhw/edit?usp=sharing"",""ลพบุรี!J441"")"),0.0)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IFERROR(__xludf.DUMMYFUNCTION("IMPORTRANGE(""https://docs.google.com/spreadsheets/d/1SX6NBoVAgQJ6U1MVXOaj8PK2l7WJ3RER9xtqwdhxkhw/edit?usp=sharing"",""ลพบุรี!I442"")"),22.0)</f>
        <v>22</v>
      </c>
      <c r="J547" s="223">
        <f>IFERROR(__xludf.DUMMYFUNCTION("IMPORTRANGE(""https://docs.google.com/spreadsheets/d/1SX6NBoVAgQJ6U1MVXOaj8PK2l7WJ3RER9xtqwdhxkhw/edit?usp=sharing"",""ลพบุรี!J442"")"),22.0)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IFERROR(__xludf.DUMMYFUNCTION("IMPORTRANGE(""https://docs.google.com/spreadsheets/d/1SX6NBoVAgQJ6U1MVXOaj8PK2l7WJ3RER9xtqwdhxkhw/edit?usp=sharing"",""ลพบุรี!J166"")"),0.0)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IFERROR(__xludf.DUMMYFUNCTION("IMPORTRANGE(""https://docs.google.com/spreadsheets/d/1SX6NBoVAgQJ6U1MVXOaj8PK2l7WJ3RER9xtqwdhxkhw/edit?usp=sharing"",""ลพบุรี!J444"")"),1.0)</f>
        <v>1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IFERROR(__xludf.DUMMYFUNCTION("IMPORTRANGE(""https://docs.google.com/spreadsheets/d/1SX6NBoVAgQJ6U1MVXOaj8PK2l7WJ3RER9xtqwdhxkhw/edit?usp=sharing"",""ลพบุรี!J445"")"),1.0)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IFERROR(__xludf.DUMMYFUNCTION("IMPORTRANGE(""https://docs.google.com/spreadsheets/d/1SX6NBoVAgQJ6U1MVXOaj8PK2l7WJ3RER9xtqwdhxkhw/edit?usp=sharing"",""ลพบุรี!I446"")"),0.0)</f>
        <v>0</v>
      </c>
      <c r="J551" s="443">
        <f>IFERROR(__xludf.DUMMYFUNCTION("IMPORTRANGE(""https://docs.google.com/spreadsheets/d/1SX6NBoVAgQJ6U1MVXOaj8PK2l7WJ3RER9xtqwdhxkhw/edit?usp=sharing"",""ลพบุรี!J446"")"),0.0)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IFERROR(__xludf.DUMMYFUNCTION("IMPORTRANGE(""https://docs.google.com/spreadsheets/d/1SX6NBoVAgQJ6U1MVXOaj8PK2l7WJ3RER9xtqwdhxkhw/edit?usp=sharing"",""ลพบุรี!L446"")"),0.0)</f>
        <v>0</v>
      </c>
      <c r="M551" s="445"/>
      <c r="N551" s="445">
        <f>IFERROR(__xludf.DUMMYFUNCTION("IMPORTRANGE(""https://docs.google.com/spreadsheets/d/1SX6NBoVAgQJ6U1MVXOaj8PK2l7WJ3RER9xtqwdhxkhw/edit?usp=sharing"",""ลพบุรี!M446"")"),0.0)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IFERROR(__xludf.DUMMYFUNCTION("IMPORTRANGE(""https://docs.google.com/spreadsheets/d/1SX6NBoVAgQJ6U1MVXOaj8PK2l7WJ3RER9xtqwdhxkhw/edit?usp=sharing"",""ลพบุรี!L447"")"),0.0)</f>
        <v>0</v>
      </c>
      <c r="M552" s="197"/>
      <c r="N552" s="203">
        <f>IFERROR(__xludf.DUMMYFUNCTION("IMPORTRANGE(""https://docs.google.com/spreadsheets/d/1SX6NBoVAgQJ6U1MVXOaj8PK2l7WJ3RER9xtqwdhxkhw/edit?usp=sharing"",""ลพบุรี!M447"")"),0.0)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IFERROR(__xludf.DUMMYFUNCTION("IMPORTRANGE(""https://docs.google.com/spreadsheets/d/1SX6NBoVAgQJ6U1MVXOaj8PK2l7WJ3RER9xtqwdhxkhw/edit?usp=sharing"",""ลพบุรี!L448"")"),0.0)</f>
        <v>0</v>
      </c>
      <c r="M553" s="198"/>
      <c r="N553" s="203">
        <f>IFERROR(__xludf.DUMMYFUNCTION("IMPORTRANGE(""https://docs.google.com/spreadsheets/d/1SX6NBoVAgQJ6U1MVXOaj8PK2l7WJ3RER9xtqwdhxkhw/edit?usp=sharing"",""ลพบุรี!M448"")"),0.0)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IFERROR(__xludf.DUMMYFUNCTION("IMPORTRANGE(""https://docs.google.com/spreadsheets/d/1SX6NBoVAgQJ6U1MVXOaj8PK2l7WJ3RER9xtqwdhxkhw/edit?usp=sharing"",""ลพบุรี!L449"")"),0.0)</f>
        <v>0</v>
      </c>
      <c r="M554" s="203"/>
      <c r="N554" s="203">
        <f>IFERROR(__xludf.DUMMYFUNCTION("IMPORTRANGE(""https://docs.google.com/spreadsheets/d/1SX6NBoVAgQJ6U1MVXOaj8PK2l7WJ3RER9xtqwdhxkhw/edit?usp=sharing"",""ลพบุรี!M449"")"),0.0)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IFERROR(__xludf.DUMMYFUNCTION("IMPORTRANGE(""https://docs.google.com/spreadsheets/d/1SX6NBoVAgQJ6U1MVXOaj8PK2l7WJ3RER9xtqwdhxkhw/edit?usp=sharing"",""ลพบุรี!L450"")"),0.0)</f>
        <v>0</v>
      </c>
      <c r="M555" s="203"/>
      <c r="N555" s="203">
        <f>IFERROR(__xludf.DUMMYFUNCTION("IMPORTRANGE(""https://docs.google.com/spreadsheets/d/1SX6NBoVAgQJ6U1MVXOaj8PK2l7WJ3RER9xtqwdhxkhw/edit?usp=sharing"",""ลพบุรี!M450"")"),0.0)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IFERROR(__xludf.DUMMYFUNCTION("IMPORTRANGE(""https://docs.google.com/spreadsheets/d/1SX6NBoVAgQJ6U1MVXOaj8PK2l7WJ3RER9xtqwdhxkhw/edit?usp=sharing"",""ลพบุรี!M451"")"),0.0)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IFERROR(__xludf.DUMMYFUNCTION("IMPORTRANGE(""https://docs.google.com/spreadsheets/d/1SX6NBoVAgQJ6U1MVXOaj8PK2l7WJ3RER9xtqwdhxkhw/edit?usp=sharing"",""ลพบุรี!M452"")"),0.0)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IFERROR(__xludf.DUMMYFUNCTION("IMPORTRANGE(""https://docs.google.com/spreadsheets/d/1SX6NBoVAgQJ6U1MVXOaj8PK2l7WJ3RER9xtqwdhxkhw/edit?usp=sharing"",""ลพบุรี!M453"")"),0.0)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IFERROR(__xludf.DUMMYFUNCTION("IMPORTRANGE(""https://docs.google.com/spreadsheets/d/1SX6NBoVAgQJ6U1MVXOaj8PK2l7WJ3RER9xtqwdhxkhw/edit?usp=sharing"",""ลพบุรี!M454"")"),0.0)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IFERROR(__xludf.DUMMYFUNCTION("IMPORTRANGE(""https://docs.google.com/spreadsheets/d/1SX6NBoVAgQJ6U1MVXOaj8PK2l7WJ3RER9xtqwdhxkhw/edit?usp=sharing"",""ลพบุรี!I455"")"),0.0)</f>
        <v>0</v>
      </c>
      <c r="J560" s="195">
        <f>IFERROR(__xludf.DUMMYFUNCTION("IMPORTRANGE(""https://docs.google.com/spreadsheets/d/1SX6NBoVAgQJ6U1MVXOaj8PK2l7WJ3RER9xtqwdhxkhw/edit?usp=sharing"",""ลพบุรี!J455"")"),0.0)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IFERROR(__xludf.DUMMYFUNCTION("IMPORTRANGE(""https://docs.google.com/spreadsheets/d/1SX6NBoVAgQJ6U1MVXOaj8PK2l7WJ3RER9xtqwdhxkhw/edit?usp=sharing"",""ลพบุรี!I456"")"),0.0)</f>
        <v>0</v>
      </c>
      <c r="J561" s="238">
        <f>IFERROR(__xludf.DUMMYFUNCTION("IMPORTRANGE(""https://docs.google.com/spreadsheets/d/1SX6NBoVAgQJ6U1MVXOaj8PK2l7WJ3RER9xtqwdhxkhw/edit?usp=sharing"",""ลพบุรี!J456"")"),0.0)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IFERROR(__xludf.DUMMYFUNCTION("IMPORTRANGE(""https://docs.google.com/spreadsheets/d/1SX6NBoVAgQJ6U1MVXOaj8PK2l7WJ3RER9xtqwdhxkhw/edit?usp=sharing"",""ลพบุรี!I457"")"),"")</f>
        <v/>
      </c>
      <c r="J562" s="238" t="str">
        <f>IFERROR(__xludf.DUMMYFUNCTION("IMPORTRANGE(""https://docs.google.com/spreadsheets/d/1SX6NBoVAgQJ6U1MVXOaj8PK2l7WJ3RER9xtqwdhxkhw/edit?usp=sharing"",""ลพบุรี!J457"")"),"")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IFERROR(__xludf.DUMMYFUNCTION("IMPORTRANGE(""https://docs.google.com/spreadsheets/d/1SX6NBoVAgQJ6U1MVXOaj8PK2l7WJ3RER9xtqwdhxkhw/edit?usp=sharing"",""ลพบุรี!I458"")"),"")</f>
        <v/>
      </c>
      <c r="J563" s="222" t="str">
        <f>IFERROR(__xludf.DUMMYFUNCTION("IMPORTRANGE(""https://docs.google.com/spreadsheets/d/1SX6NBoVAgQJ6U1MVXOaj8PK2l7WJ3RER9xtqwdhxkhw/edit?usp=sharing"",""ลพบุรี!J458"")"),"")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IFERROR(__xludf.DUMMYFUNCTION("IMPORTRANGE(""https://docs.google.com/spreadsheets/d/1SX6NBoVAgQJ6U1MVXOaj8PK2l7WJ3RER9xtqwdhxkhw/edit?usp=sharing"",""ลพบุรี!I459"")"),1350.0)</f>
        <v>1350</v>
      </c>
      <c r="J564" s="404">
        <f>IFERROR(__xludf.DUMMYFUNCTION("IMPORTRANGE(""https://docs.google.com/spreadsheets/d/1SX6NBoVAgQJ6U1MVXOaj8PK2l7WJ3RER9xtqwdhxkhw/edit?usp=sharing"",""ลพบุรี!J459"")"),0.0)</f>
        <v>0</v>
      </c>
      <c r="K564" s="405">
        <f t="shared" si="122"/>
        <v>0</v>
      </c>
      <c r="L564" s="406">
        <f>IFERROR(__xludf.DUMMYFUNCTION("IMPORTRANGE(""https://docs.google.com/spreadsheets/d/1SX6NBoVAgQJ6U1MVXOaj8PK2l7WJ3RER9xtqwdhxkhw/edit?usp=sharing"",""ลพบุรี!L459"")"),127680.0)</f>
        <v>127680</v>
      </c>
      <c r="M564" s="406"/>
      <c r="N564" s="406">
        <f>IFERROR(__xludf.DUMMYFUNCTION("IMPORTRANGE(""https://docs.google.com/spreadsheets/d/1SX6NBoVAgQJ6U1MVXOaj8PK2l7WJ3RER9xtqwdhxkhw/edit?usp=sharing"",""ลพบุรี!M459"")"),0.0)</f>
        <v>0</v>
      </c>
      <c r="O564" s="406">
        <f t="shared" ref="O564:O568" si="123">+IF(L564&gt;0,N564*100/L564,0)</f>
        <v>0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IFERROR(__xludf.DUMMYFUNCTION("IMPORTRANGE(""https://docs.google.com/spreadsheets/d/1SX6NBoVAgQJ6U1MVXOaj8PK2l7WJ3RER9xtqwdhxkhw/edit?usp=sharing"",""ลพบุรี!L460"")"),0.0)</f>
        <v>0</v>
      </c>
      <c r="M565" s="197"/>
      <c r="N565" s="203">
        <f>IFERROR(__xludf.DUMMYFUNCTION("IMPORTRANGE(""https://docs.google.com/spreadsheets/d/1SX6NBoVAgQJ6U1MVXOaj8PK2l7WJ3RER9xtqwdhxkhw/edit?usp=sharing"",""ลพบุรี!M460"")"),0.0)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IFERROR(__xludf.DUMMYFUNCTION("IMPORTRANGE(""https://docs.google.com/spreadsheets/d/1SX6NBoVAgQJ6U1MVXOaj8PK2l7WJ3RER9xtqwdhxkhw/edit?usp=sharing"",""ลพบุรี!L461"")"),127680.0)</f>
        <v>127680</v>
      </c>
      <c r="M566" s="198"/>
      <c r="N566" s="203">
        <f>IFERROR(__xludf.DUMMYFUNCTION("IMPORTRANGE(""https://docs.google.com/spreadsheets/d/1SX6NBoVAgQJ6U1MVXOaj8PK2l7WJ3RER9xtqwdhxkhw/edit?usp=sharing"",""ลพบุรี!M461"")"),0.0)</f>
        <v>0</v>
      </c>
      <c r="O566" s="203">
        <f t="shared" si="123"/>
        <v>0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IFERROR(__xludf.DUMMYFUNCTION("IMPORTRANGE(""https://docs.google.com/spreadsheets/d/1SX6NBoVAgQJ6U1MVXOaj8PK2l7WJ3RER9xtqwdhxkhw/edit?usp=sharing"",""ลพบุรี!L462"")"),0.0)</f>
        <v>0</v>
      </c>
      <c r="M567" s="203"/>
      <c r="N567" s="203">
        <f>IFERROR(__xludf.DUMMYFUNCTION("IMPORTRANGE(""https://docs.google.com/spreadsheets/d/1SX6NBoVAgQJ6U1MVXOaj8PK2l7WJ3RER9xtqwdhxkhw/edit?usp=sharing"",""ลพบุรี!M462"")"),0.0)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IFERROR(__xludf.DUMMYFUNCTION("IMPORTRANGE(""https://docs.google.com/spreadsheets/d/1SX6NBoVAgQJ6U1MVXOaj8PK2l7WJ3RER9xtqwdhxkhw/edit?usp=sharing"",""ลพบุรี!L463"")"),127680.0)</f>
        <v>127680</v>
      </c>
      <c r="M568" s="203"/>
      <c r="N568" s="203">
        <f>IFERROR(__xludf.DUMMYFUNCTION("IMPORTRANGE(""https://docs.google.com/spreadsheets/d/1SX6NBoVAgQJ6U1MVXOaj8PK2l7WJ3RER9xtqwdhxkhw/edit?usp=sharing"",""ลพบุรี!M463"")"),0.0)</f>
        <v>0</v>
      </c>
      <c r="O568" s="203">
        <f t="shared" si="123"/>
        <v>0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IFERROR(__xludf.DUMMYFUNCTION("IMPORTRANGE(""https://docs.google.com/spreadsheets/d/1SX6NBoVAgQJ6U1MVXOaj8PK2l7WJ3RER9xtqwdhxkhw/edit?usp=sharing"",""ลพบุรี!M464"")"),0.0)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IFERROR(__xludf.DUMMYFUNCTION("IMPORTRANGE(""https://docs.google.com/spreadsheets/d/1SX6NBoVAgQJ6U1MVXOaj8PK2l7WJ3RER9xtqwdhxkhw/edit?usp=sharing"",""ลพบุรี!M465"")"),0.0)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IFERROR(__xludf.DUMMYFUNCTION("IMPORTRANGE(""https://docs.google.com/spreadsheets/d/1SX6NBoVAgQJ6U1MVXOaj8PK2l7WJ3RER9xtqwdhxkhw/edit?usp=sharing"",""ลพบุรี!M466"")"),0.0)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IFERROR(__xludf.DUMMYFUNCTION("IMPORTRANGE(""https://docs.google.com/spreadsheets/d/1SX6NBoVAgQJ6U1MVXOaj8PK2l7WJ3RER9xtqwdhxkhw/edit?usp=sharing"",""ลพบุรี!M467"")"),0.0)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IFERROR(__xludf.DUMMYFUNCTION("IMPORTRANGE(""https://docs.google.com/spreadsheets/d/1SX6NBoVAgQJ6U1MVXOaj8PK2l7WJ3RER9xtqwdhxkhw/edit?usp=sharing"",""ลพบุรี!I468"")"),1350.0)</f>
        <v>1350</v>
      </c>
      <c r="J573" s="453">
        <f>IFERROR(__xludf.DUMMYFUNCTION("IMPORTRANGE(""https://docs.google.com/spreadsheets/d/1SX6NBoVAgQJ6U1MVXOaj8PK2l7WJ3RER9xtqwdhxkhw/edit?usp=sharing"",""ลพบุรี!J468"")"),0.0)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IFERROR(__xludf.DUMMYFUNCTION("IMPORTRANGE(""https://docs.google.com/spreadsheets/d/1SX6NBoVAgQJ6U1MVXOaj8PK2l7WJ3RER9xtqwdhxkhw/edit?usp=sharing"",""ลพบุรี!I470"")"),0.0)</f>
        <v>0</v>
      </c>
      <c r="J575" s="232">
        <f>IFERROR(__xludf.DUMMYFUNCTION("IMPORTRANGE(""https://docs.google.com/spreadsheets/d/1SX6NBoVAgQJ6U1MVXOaj8PK2l7WJ3RER9xtqwdhxkhw/edit?usp=sharing"",""ลพบุรี!J470"")"),0.0)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IFERROR(__xludf.DUMMYFUNCTION("IMPORTRANGE(""https://docs.google.com/spreadsheets/d/1SX6NBoVAgQJ6U1MVXOaj8PK2l7WJ3RER9xtqwdhxkhw/edit?usp=sharing"",""ลพบุรี!I471"")"),0.0)</f>
        <v>0</v>
      </c>
      <c r="J576" s="232">
        <f>IFERROR(__xludf.DUMMYFUNCTION("IMPORTRANGE(""https://docs.google.com/spreadsheets/d/1SX6NBoVAgQJ6U1MVXOaj8PK2l7WJ3RER9xtqwdhxkhw/edit?usp=sharing"",""ลพบุรี!J471"")"),0.0)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IFERROR(__xludf.DUMMYFUNCTION("IMPORTRANGE(""https://docs.google.com/spreadsheets/d/1SX6NBoVAgQJ6U1MVXOaj8PK2l7WJ3RER9xtqwdhxkhw/edit?usp=sharing"",""ลพบุรี!I472"")"),0.0)</f>
        <v>0</v>
      </c>
      <c r="J577" s="223">
        <f>IFERROR(__xludf.DUMMYFUNCTION("IMPORTRANGE(""https://docs.google.com/spreadsheets/d/1SX6NBoVAgQJ6U1MVXOaj8PK2l7WJ3RER9xtqwdhxkhw/edit?usp=sharing"",""ลพบุรี!J472"")"),0.0)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IFERROR(__xludf.DUMMYFUNCTION("IMPORTRANGE(""https://docs.google.com/spreadsheets/d/1SX6NBoVAgQJ6U1MVXOaj8PK2l7WJ3RER9xtqwdhxkhw/edit?usp=sharing"",""ลพบุรี!I473"")"),0.0)</f>
        <v>0</v>
      </c>
      <c r="J578" s="232">
        <f>IFERROR(__xludf.DUMMYFUNCTION("IMPORTRANGE(""https://docs.google.com/spreadsheets/d/1SX6NBoVAgQJ6U1MVXOaj8PK2l7WJ3RER9xtqwdhxkhw/edit?usp=sharing"",""ลพบุรี!J473"")"),0.0)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IFERROR(__xludf.DUMMYFUNCTION("IMPORTRANGE(""https://docs.google.com/spreadsheets/d/1SX6NBoVAgQJ6U1MVXOaj8PK2l7WJ3RER9xtqwdhxkhw/edit?usp=sharing"",""ลพบุรี!I474"")"),0.0)</f>
        <v>0</v>
      </c>
      <c r="J579" s="232">
        <f>IFERROR(__xludf.DUMMYFUNCTION("IMPORTRANGE(""https://docs.google.com/spreadsheets/d/1SX6NBoVAgQJ6U1MVXOaj8PK2l7WJ3RER9xtqwdhxkhw/edit?usp=sharing"",""ลพบุรี!J474"")"),0.0)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IFERROR(__xludf.DUMMYFUNCTION("IMPORTRANGE(""https://docs.google.com/spreadsheets/d/1SX6NBoVAgQJ6U1MVXOaj8PK2l7WJ3RER9xtqwdhxkhw/edit?usp=sharing"",""ลพบุรี!I475"")"),0.0)</f>
        <v>0</v>
      </c>
      <c r="J580" s="404">
        <f>IFERROR(__xludf.DUMMYFUNCTION("IMPORTRANGE(""https://docs.google.com/spreadsheets/d/1SX6NBoVAgQJ6U1MVXOaj8PK2l7WJ3RER9xtqwdhxkhw/edit?usp=sharing"",""ลพบุรี!J475"")"),2.0)</f>
        <v>2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IFERROR(__xludf.DUMMYFUNCTION("IMPORTRANGE(""https://docs.google.com/spreadsheets/d/1SX6NBoVAgQJ6U1MVXOaj8PK2l7WJ3RER9xtqwdhxkhw/edit?usp=sharing"",""ลพบุรี!L475"")"),0.0)</f>
        <v>0</v>
      </c>
      <c r="M580" s="406"/>
      <c r="N580" s="406">
        <f>IFERROR(__xludf.DUMMYFUNCTION("IMPORTRANGE(""https://docs.google.com/spreadsheets/d/1SX6NBoVAgQJ6U1MVXOaj8PK2l7WJ3RER9xtqwdhxkhw/edit?usp=sharing"",""ลพบุรี!M475"")"),0.0)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IFERROR(__xludf.DUMMYFUNCTION("IMPORTRANGE(""https://docs.google.com/spreadsheets/d/1SX6NBoVAgQJ6U1MVXOaj8PK2l7WJ3RER9xtqwdhxkhw/edit?usp=sharing"",""ลพบุรี!L476"")"),0.0)</f>
        <v>0</v>
      </c>
      <c r="M581" s="197"/>
      <c r="N581" s="203">
        <f>IFERROR(__xludf.DUMMYFUNCTION("IMPORTRANGE(""https://docs.google.com/spreadsheets/d/1SX6NBoVAgQJ6U1MVXOaj8PK2l7WJ3RER9xtqwdhxkhw/edit?usp=sharing"",""ลพบุรี!M476"")"),0.0)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IFERROR(__xludf.DUMMYFUNCTION("IMPORTRANGE(""https://docs.google.com/spreadsheets/d/1SX6NBoVAgQJ6U1MVXOaj8PK2l7WJ3RER9xtqwdhxkhw/edit?usp=sharing"",""ลพบุรี!L477"")"),0.0)</f>
        <v>0</v>
      </c>
      <c r="M582" s="198"/>
      <c r="N582" s="203">
        <f>IFERROR(__xludf.DUMMYFUNCTION("IMPORTRANGE(""https://docs.google.com/spreadsheets/d/1SX6NBoVAgQJ6U1MVXOaj8PK2l7WJ3RER9xtqwdhxkhw/edit?usp=sharing"",""ลพบุรี!M477"")"),0.0)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IFERROR(__xludf.DUMMYFUNCTION("IMPORTRANGE(""https://docs.google.com/spreadsheets/d/1SX6NBoVAgQJ6U1MVXOaj8PK2l7WJ3RER9xtqwdhxkhw/edit?usp=sharing"",""ลพบุรี!L478"")"),0.0)</f>
        <v>0</v>
      </c>
      <c r="M583" s="203"/>
      <c r="N583" s="203">
        <f>IFERROR(__xludf.DUMMYFUNCTION("IMPORTRANGE(""https://docs.google.com/spreadsheets/d/1SX6NBoVAgQJ6U1MVXOaj8PK2l7WJ3RER9xtqwdhxkhw/edit?usp=sharing"",""ลพบุรี!M478"")"),0.0)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IFERROR(__xludf.DUMMYFUNCTION("IMPORTRANGE(""https://docs.google.com/spreadsheets/d/1SX6NBoVAgQJ6U1MVXOaj8PK2l7WJ3RER9xtqwdhxkhw/edit?usp=sharing"",""ลพบุรี!L479"")"),0.0)</f>
        <v>0</v>
      </c>
      <c r="M584" s="203"/>
      <c r="N584" s="203">
        <f>IFERROR(__xludf.DUMMYFUNCTION("IMPORTRANGE(""https://docs.google.com/spreadsheets/d/1SX6NBoVAgQJ6U1MVXOaj8PK2l7WJ3RER9xtqwdhxkhw/edit?usp=sharing"",""ลพบุรี!M479"")"),0.0)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IFERROR(__xludf.DUMMYFUNCTION("IMPORTRANGE(""https://docs.google.com/spreadsheets/d/1SX6NBoVAgQJ6U1MVXOaj8PK2l7WJ3RER9xtqwdhxkhw/edit?usp=sharing"",""ลพบุรี!M480"")"),0.0)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IFERROR(__xludf.DUMMYFUNCTION("IMPORTRANGE(""https://docs.google.com/spreadsheets/d/1SX6NBoVAgQJ6U1MVXOaj8PK2l7WJ3RER9xtqwdhxkhw/edit?usp=sharing"",""ลพบุรี!M481"")"),0.0)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IFERROR(__xludf.DUMMYFUNCTION("IMPORTRANGE(""https://docs.google.com/spreadsheets/d/1SX6NBoVAgQJ6U1MVXOaj8PK2l7WJ3RER9xtqwdhxkhw/edit?usp=sharing"",""ลพบุรี!M482"")"),0.0)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IFERROR(__xludf.DUMMYFUNCTION("IMPORTRANGE(""https://docs.google.com/spreadsheets/d/1SX6NBoVAgQJ6U1MVXOaj8PK2l7WJ3RER9xtqwdhxkhw/edit?usp=sharing"",""ลพบุรี!M483"")"),0.0)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IFERROR(__xludf.DUMMYFUNCTION("IMPORTRANGE(""https://docs.google.com/spreadsheets/d/1SX6NBoVAgQJ6U1MVXOaj8PK2l7WJ3RER9xtqwdhxkhw/edit?usp=sharing"",""ลพบุรี!I484"")"),0.0)</f>
        <v>0</v>
      </c>
      <c r="J589" s="222">
        <f>IFERROR(__xludf.DUMMYFUNCTION("IMPORTRANGE(""https://docs.google.com/spreadsheets/d/1SX6NBoVAgQJ6U1MVXOaj8PK2l7WJ3RER9xtqwdhxkhw/edit?usp=sharing"",""ลพบุรี!J484"")"),0.0)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IFERROR(__xludf.DUMMYFUNCTION("IMPORTRANGE(""https://docs.google.com/spreadsheets/d/1SX6NBoVAgQJ6U1MVXOaj8PK2l7WJ3RER9xtqwdhxkhw/edit?usp=sharing"",""ลพบุรี!I485"")"),0.0)</f>
        <v>0</v>
      </c>
      <c r="J590" s="222">
        <f>IFERROR(__xludf.DUMMYFUNCTION("IMPORTRANGE(""https://docs.google.com/spreadsheets/d/1SX6NBoVAgQJ6U1MVXOaj8PK2l7WJ3RER9xtqwdhxkhw/edit?usp=sharing"",""ลพบุรี!J485"")"),0.0)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IFERROR(__xludf.DUMMYFUNCTION("IMPORTRANGE(""https://docs.google.com/spreadsheets/d/1SX6NBoVAgQJ6U1MVXOaj8PK2l7WJ3RER9xtqwdhxkhw/edit?usp=sharing"",""ลพบุรี!I486"")"),0.0)</f>
        <v>0</v>
      </c>
      <c r="J591" s="222">
        <f>IFERROR(__xludf.DUMMYFUNCTION("IMPORTRANGE(""https://docs.google.com/spreadsheets/d/1SX6NBoVAgQJ6U1MVXOaj8PK2l7WJ3RER9xtqwdhxkhw/edit?usp=sharing"",""ลพบุรี!J486"")"),5.0)</f>
        <v>5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IFERROR(__xludf.DUMMYFUNCTION("IMPORTRANGE(""https://docs.google.com/spreadsheets/d/1SX6NBoVAgQJ6U1MVXOaj8PK2l7WJ3RER9xtqwdhxkhw/edit?usp=sharing"",""ลพบุรี!I487"")"),0.0)</f>
        <v>0</v>
      </c>
      <c r="J592" s="222">
        <f>IFERROR(__xludf.DUMMYFUNCTION("IMPORTRANGE(""https://docs.google.com/spreadsheets/d/1SX6NBoVAgQJ6U1MVXOaj8PK2l7WJ3RER9xtqwdhxkhw/edit?usp=sharing"",""ลพบุรี!J487"")"),2.11)</f>
        <v>2.11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IFERROR(__xludf.DUMMYFUNCTION("IMPORTRANGE(""https://docs.google.com/spreadsheets/d/1SX6NBoVAgQJ6U1MVXOaj8PK2l7WJ3RER9xtqwdhxkhw/edit?usp=sharing"",""ลพบุรี!I488"")"),0.0)</f>
        <v>0</v>
      </c>
      <c r="J593" s="222">
        <f>IFERROR(__xludf.DUMMYFUNCTION("IMPORTRANGE(""https://docs.google.com/spreadsheets/d/1SX6NBoVAgQJ6U1MVXOaj8PK2l7WJ3RER9xtqwdhxkhw/edit?usp=sharing"",""ลพบุรี!J488"")"),0.0)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IFERROR(__xludf.DUMMYFUNCTION("IMPORTRANGE(""https://docs.google.com/spreadsheets/d/1SX6NBoVAgQJ6U1MVXOaj8PK2l7WJ3RER9xtqwdhxkhw/edit?usp=sharing"",""ลพบุรี!I489"")"),0.0)</f>
        <v>0</v>
      </c>
      <c r="J594" s="222">
        <f>IFERROR(__xludf.DUMMYFUNCTION("IMPORTRANGE(""https://docs.google.com/spreadsheets/d/1SX6NBoVAgQJ6U1MVXOaj8PK2l7WJ3RER9xtqwdhxkhw/edit?usp=sharing"",""ลพบุรี!J489"")"),0.0)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IFERROR(__xludf.DUMMYFUNCTION("IMPORTRANGE(""https://docs.google.com/spreadsheets/d/1SX6NBoVAgQJ6U1MVXOaj8PK2l7WJ3RER9xtqwdhxkhw/edit?usp=sharing"",""ลพบุรี!I490"")"),0.0)</f>
        <v>0</v>
      </c>
      <c r="J595" s="222">
        <f>IFERROR(__xludf.DUMMYFUNCTION("IMPORTRANGE(""https://docs.google.com/spreadsheets/d/1SX6NBoVAgQJ6U1MVXOaj8PK2l7WJ3RER9xtqwdhxkhw/edit?usp=sharing"",""ลพบุรี!J490"")"),2.0)</f>
        <v>2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IFERROR(__xludf.DUMMYFUNCTION("IMPORTRANGE(""https://docs.google.com/spreadsheets/d/1SX6NBoVAgQJ6U1MVXOaj8PK2l7WJ3RER9xtqwdhxkhw/edit?usp=sharing"",""ลพบุรี!I491"")"),0.0)</f>
        <v>0</v>
      </c>
      <c r="J596" s="275">
        <f>IFERROR(__xludf.DUMMYFUNCTION("IMPORTRANGE(""https://docs.google.com/spreadsheets/d/1SX6NBoVAgQJ6U1MVXOaj8PK2l7WJ3RER9xtqwdhxkhw/edit?usp=sharing"",""ลพบุรี!J491"")"),0.92)</f>
        <v>0.92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IFERROR(__xludf.DUMMYFUNCTION("IMPORTRANGE(""https://docs.google.com/spreadsheets/d/1SX6NBoVAgQJ6U1MVXOaj8PK2l7WJ3RER9xtqwdhxkhw/edit?usp=sharing"",""ลพบุรี!I492"")"),100.0)</f>
        <v>100</v>
      </c>
      <c r="J597" s="520">
        <f>IFERROR(__xludf.DUMMYFUNCTION("IMPORTRANGE(""https://docs.google.com/spreadsheets/d/1SX6NBoVAgQJ6U1MVXOaj8PK2l7WJ3RER9xtqwdhxkhw/edit?usp=sharing"",""ลพบุรี!J492"")"),0.0)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IFERROR(__xludf.DUMMYFUNCTION("IMPORTRANGE(""https://docs.google.com/spreadsheets/d/1SX6NBoVAgQJ6U1MVXOaj8PK2l7WJ3RER9xtqwdhxkhw/edit?usp=sharing"",""ลพบุรี!L492"")"),8900.0)</f>
        <v>8900</v>
      </c>
      <c r="M597" s="445"/>
      <c r="N597" s="445">
        <f>IFERROR(__xludf.DUMMYFUNCTION("IMPORTRANGE(""https://docs.google.com/spreadsheets/d/1SX6NBoVAgQJ6U1MVXOaj8PK2l7WJ3RER9xtqwdhxkhw/edit?usp=sharing"",""ลพบุรี!M492"")"),0.0)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IFERROR(__xludf.DUMMYFUNCTION("IMPORTRANGE(""https://docs.google.com/spreadsheets/d/1SX6NBoVAgQJ6U1MVXOaj8PK2l7WJ3RER9xtqwdhxkhw/edit?usp=sharing"",""ลพบุรี!L493"")"),0.0)</f>
        <v>0</v>
      </c>
      <c r="M598" s="197"/>
      <c r="N598" s="203">
        <f>IFERROR(__xludf.DUMMYFUNCTION("IMPORTRANGE(""https://docs.google.com/spreadsheets/d/1SX6NBoVAgQJ6U1MVXOaj8PK2l7WJ3RER9xtqwdhxkhw/edit?usp=sharing"",""ลพบุรี!M493"")"),0.0)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IFERROR(__xludf.DUMMYFUNCTION("IMPORTRANGE(""https://docs.google.com/spreadsheets/d/1SX6NBoVAgQJ6U1MVXOaj8PK2l7WJ3RER9xtqwdhxkhw/edit?usp=sharing"",""ลพบุรี!L494"")"),8900.0)</f>
        <v>8900</v>
      </c>
      <c r="M599" s="198"/>
      <c r="N599" s="203">
        <f>IFERROR(__xludf.DUMMYFUNCTION("IMPORTRANGE(""https://docs.google.com/spreadsheets/d/1SX6NBoVAgQJ6U1MVXOaj8PK2l7WJ3RER9xtqwdhxkhw/edit?usp=sharing"",""ลพบุรี!M494"")"),0.0)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IFERROR(__xludf.DUMMYFUNCTION("IMPORTRANGE(""https://docs.google.com/spreadsheets/d/1SX6NBoVAgQJ6U1MVXOaj8PK2l7WJ3RER9xtqwdhxkhw/edit?usp=sharing"",""ลพบุรี!L495"")"),0.0)</f>
        <v>0</v>
      </c>
      <c r="M600" s="203"/>
      <c r="N600" s="203">
        <f>IFERROR(__xludf.DUMMYFUNCTION("IMPORTRANGE(""https://docs.google.com/spreadsheets/d/1SX6NBoVAgQJ6U1MVXOaj8PK2l7WJ3RER9xtqwdhxkhw/edit?usp=sharing"",""ลพบุรี!M495"")"),0.0)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IFERROR(__xludf.DUMMYFUNCTION("IMPORTRANGE(""https://docs.google.com/spreadsheets/d/1SX6NBoVAgQJ6U1MVXOaj8PK2l7WJ3RER9xtqwdhxkhw/edit?usp=sharing"",""ลพบุรี!L496"")"),8900.0)</f>
        <v>8900</v>
      </c>
      <c r="M601" s="203"/>
      <c r="N601" s="203">
        <f>IFERROR(__xludf.DUMMYFUNCTION("IMPORTRANGE(""https://docs.google.com/spreadsheets/d/1SX6NBoVAgQJ6U1MVXOaj8PK2l7WJ3RER9xtqwdhxkhw/edit?usp=sharing"",""ลพบุรี!M496"")"),0.0)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IFERROR(__xludf.DUMMYFUNCTION("IMPORTRANGE(""https://docs.google.com/spreadsheets/d/1SX6NBoVAgQJ6U1MVXOaj8PK2l7WJ3RER9xtqwdhxkhw/edit?usp=sharing"",""ลพบุรี!M497"")"),0.0)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IFERROR(__xludf.DUMMYFUNCTION("IMPORTRANGE(""https://docs.google.com/spreadsheets/d/1SX6NBoVAgQJ6U1MVXOaj8PK2l7WJ3RER9xtqwdhxkhw/edit?usp=sharing"",""ลพบุรี!M498"")"),0.0)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IFERROR(__xludf.DUMMYFUNCTION("IMPORTRANGE(""https://docs.google.com/spreadsheets/d/1SX6NBoVAgQJ6U1MVXOaj8PK2l7WJ3RER9xtqwdhxkhw/edit?usp=sharing"",""ลพบุรี!M499"")"),0.0)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IFERROR(__xludf.DUMMYFUNCTION("IMPORTRANGE(""https://docs.google.com/spreadsheets/d/1SX6NBoVAgQJ6U1MVXOaj8PK2l7WJ3RER9xtqwdhxkhw/edit?usp=sharing"",""ลพบุรี!M500"")"),0.0)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IFERROR(__xludf.DUMMYFUNCTION("IMPORTRANGE(""https://docs.google.com/spreadsheets/d/1SX6NBoVAgQJ6U1MVXOaj8PK2l7WJ3RER9xtqwdhxkhw/edit?usp=sharing"",""ลพบุรี!J502"")"),0.0)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IFERROR(__xludf.DUMMYFUNCTION("IMPORTRANGE(""https://docs.google.com/spreadsheets/d/1SX6NBoVAgQJ6U1MVXOaj8PK2l7WJ3RER9xtqwdhxkhw/edit?usp=sharing"",""ลพบุรี!J503"")"),0.0)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IFERROR(__xludf.DUMMYFUNCTION("IMPORTRANGE(""https://docs.google.com/spreadsheets/d/1SX6NBoVAgQJ6U1MVXOaj8PK2l7WJ3RER9xtqwdhxkhw/edit?usp=sharing"",""ลพบุรี!J166"")"),0.0)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IFERROR(__xludf.DUMMYFUNCTION("IMPORTRANGE(""https://docs.google.com/spreadsheets/d/1SX6NBoVAgQJ6U1MVXOaj8PK2l7WJ3RER9xtqwdhxkhw/edit?usp=sharing"",""ลพบุรี!J166"")"),0.0)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IFERROR(__xludf.DUMMYFUNCTION("IMPORTRANGE(""https://docs.google.com/spreadsheets/d/1SX6NBoVAgQJ6U1MVXOaj8PK2l7WJ3RER9xtqwdhxkhw/edit?usp=sharing"",""ลพบุรี!I506"")"),100.0)</f>
        <v>100</v>
      </c>
      <c r="J611" s="195">
        <f>IFERROR(__xludf.DUMMYFUNCTION("IMPORTRANGE(""https://docs.google.com/spreadsheets/d/1SX6NBoVAgQJ6U1MVXOaj8PK2l7WJ3RER9xtqwdhxkhw/edit?usp=sharing"",""ลพบุรี!J506"")"),0.0)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IFERROR(__xludf.DUMMYFUNCTION("IMPORTRANGE(""https://docs.google.com/spreadsheets/d/1SX6NBoVAgQJ6U1MVXOaj8PK2l7WJ3RER9xtqwdhxkhw/edit?usp=sharing"",""ลพบุรี!I507"")"),0.0)</f>
        <v>0</v>
      </c>
      <c r="J612" s="232">
        <f>IFERROR(__xludf.DUMMYFUNCTION("IMPORTRANGE(""https://docs.google.com/spreadsheets/d/1SX6NBoVAgQJ6U1MVXOaj8PK2l7WJ3RER9xtqwdhxkhw/edit?usp=sharing"",""ลพบุรี!J507"")"),0.0)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IFERROR(__xludf.DUMMYFUNCTION("IMPORTRANGE(""https://docs.google.com/spreadsheets/d/1SX6NBoVAgQJ6U1MVXOaj8PK2l7WJ3RER9xtqwdhxkhw/edit?usp=sharing"",""ลพบุรี!I508"")"),0.0)</f>
        <v>0</v>
      </c>
      <c r="J613" s="232">
        <f>IFERROR(__xludf.DUMMYFUNCTION("IMPORTRANGE(""https://docs.google.com/spreadsheets/d/1SX6NBoVAgQJ6U1MVXOaj8PK2l7WJ3RER9xtqwdhxkhw/edit?usp=sharing"",""ลพบุรี!J508"")"),0.0)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IFERROR(__xludf.DUMMYFUNCTION("IMPORTRANGE(""https://docs.google.com/spreadsheets/d/1SX6NBoVAgQJ6U1MVXOaj8PK2l7WJ3RER9xtqwdhxkhw/edit?usp=sharing"",""ลพบุรี!I509"")"),0.0)</f>
        <v>0</v>
      </c>
      <c r="J614" s="232">
        <f>IFERROR(__xludf.DUMMYFUNCTION("IMPORTRANGE(""https://docs.google.com/spreadsheets/d/1SX6NBoVAgQJ6U1MVXOaj8PK2l7WJ3RER9xtqwdhxkhw/edit?usp=sharing"",""ลพบุรี!J509"")"),0.0)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IFERROR(__xludf.DUMMYFUNCTION("IMPORTRANGE(""https://docs.google.com/spreadsheets/d/1SX6NBoVAgQJ6U1MVXOaj8PK2l7WJ3RER9xtqwdhxkhw/edit?usp=sharing"",""ลพบุรี!I510"")"),0.0)</f>
        <v>0</v>
      </c>
      <c r="J615" s="232">
        <f>IFERROR(__xludf.DUMMYFUNCTION("IMPORTRANGE(""https://docs.google.com/spreadsheets/d/1SX6NBoVAgQJ6U1MVXOaj8PK2l7WJ3RER9xtqwdhxkhw/edit?usp=sharing"",""ลพบุรี!J510"")"),0.0)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IFERROR(__xludf.DUMMYFUNCTION("IMPORTRANGE(""https://docs.google.com/spreadsheets/d/1SX6NBoVAgQJ6U1MVXOaj8PK2l7WJ3RER9xtqwdhxkhw/edit?usp=sharing"",""ลพบุรี!I511"")"),0.0)</f>
        <v>0</v>
      </c>
      <c r="J616" s="232">
        <f>IFERROR(__xludf.DUMMYFUNCTION("IMPORTRANGE(""https://docs.google.com/spreadsheets/d/1SX6NBoVAgQJ6U1MVXOaj8PK2l7WJ3RER9xtqwdhxkhw/edit?usp=sharing"",""ลพบุรี!J511"")"),0.0)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IFERROR(__xludf.DUMMYFUNCTION("IMPORTRANGE(""https://docs.google.com/spreadsheets/d/1SX6NBoVAgQJ6U1MVXOaj8PK2l7WJ3RER9xtqwdhxkhw/edit?usp=sharing"",""ลพบุรี!I512"")"),0.0)</f>
        <v>0</v>
      </c>
      <c r="J617" s="222">
        <f>IFERROR(__xludf.DUMMYFUNCTION("IMPORTRANGE(""https://docs.google.com/spreadsheets/d/1SX6NBoVAgQJ6U1MVXOaj8PK2l7WJ3RER9xtqwdhxkhw/edit?usp=sharing"",""ลพบุรี!J512"")"),0.0)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IFERROR(__xludf.DUMMYFUNCTION("IMPORTRANGE(""https://docs.google.com/spreadsheets/d/1SX6NBoVAgQJ6U1MVXOaj8PK2l7WJ3RER9xtqwdhxkhw/edit?usp=sharing"",""ลพบุรี!I513"")"),0.0)</f>
        <v>0</v>
      </c>
      <c r="J618" s="223">
        <f>IFERROR(__xludf.DUMMYFUNCTION("IMPORTRANGE(""https://docs.google.com/spreadsheets/d/1SX6NBoVAgQJ6U1MVXOaj8PK2l7WJ3RER9xtqwdhxkhw/edit?usp=sharing"",""ลพบุรี!J513"")"),0.0)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IFERROR(__xludf.DUMMYFUNCTION("IMPORTRANGE(""https://docs.google.com/spreadsheets/d/1SX6NBoVAgQJ6U1MVXOaj8PK2l7WJ3RER9xtqwdhxkhw/edit?usp=sharing"",""ลพบุรี!I514"")"),0.0)</f>
        <v>0</v>
      </c>
      <c r="J619" s="223">
        <f>IFERROR(__xludf.DUMMYFUNCTION("IMPORTRANGE(""https://docs.google.com/spreadsheets/d/1SX6NBoVAgQJ6U1MVXOaj8PK2l7WJ3RER9xtqwdhxkhw/edit?usp=sharing"",""ลพบุรี!J514"")"),0.0)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IFERROR(__xludf.DUMMYFUNCTION("IMPORTRANGE(""https://docs.google.com/spreadsheets/d/1SX6NBoVAgQJ6U1MVXOaj8PK2l7WJ3RER9xtqwdhxkhw/edit?usp=sharing"",""ลพบุรี!I515"")"),760.0)</f>
        <v>760</v>
      </c>
      <c r="J620" s="237">
        <f>IFERROR(__xludf.DUMMYFUNCTION("IMPORTRANGE(""https://docs.google.com/spreadsheets/d/1SX6NBoVAgQJ6U1MVXOaj8PK2l7WJ3RER9xtqwdhxkhw/edit?usp=sharing"",""ลพบุรี!J515"")"),0.0)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IFERROR(__xludf.DUMMYFUNCTION("IMPORTRANGE(""https://docs.google.com/spreadsheets/d/1SX6NBoVAgQJ6U1MVXOaj8PK2l7WJ3RER9xtqwdhxkhw/edit?usp=sharing"",""ลพบุรี!I516"")"),0.0)</f>
        <v>0</v>
      </c>
      <c r="J621" s="237">
        <f>IFERROR(__xludf.DUMMYFUNCTION("IMPORTRANGE(""https://docs.google.com/spreadsheets/d/1SX6NBoVAgQJ6U1MVXOaj8PK2l7WJ3RER9xtqwdhxkhw/edit?usp=sharing"",""ลพบุรี!J516"")"),0.0)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IFERROR(__xludf.DUMMYFUNCTION("IMPORTRANGE(""https://docs.google.com/spreadsheets/d/1SX6NBoVAgQJ6U1MVXOaj8PK2l7WJ3RER9xtqwdhxkhw/edit?usp=sharing"",""ลพบุรี!I517"")"),0.0)</f>
        <v>0</v>
      </c>
      <c r="J622" s="223">
        <f>IFERROR(__xludf.DUMMYFUNCTION("IMPORTRANGE(""https://docs.google.com/spreadsheets/d/1SX6NBoVAgQJ6U1MVXOaj8PK2l7WJ3RER9xtqwdhxkhw/edit?usp=sharing"",""ลพบุรี!J517"")"),0.0)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IFERROR(__xludf.DUMMYFUNCTION("IMPORTRANGE(""https://docs.google.com/spreadsheets/d/1SX6NBoVAgQJ6U1MVXOaj8PK2l7WJ3RER9xtqwdhxkhw/edit?usp=sharing"",""ลพบุรี!I518"")"),0.0)</f>
        <v>0</v>
      </c>
      <c r="J623" s="223">
        <f>IFERROR(__xludf.DUMMYFUNCTION("IMPORTRANGE(""https://docs.google.com/spreadsheets/d/1SX6NBoVAgQJ6U1MVXOaj8PK2l7WJ3RER9xtqwdhxkhw/edit?usp=sharing"",""ลพบุรี!J518"")"),0.0)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IFERROR(__xludf.DUMMYFUNCTION("IMPORTRANGE(""https://docs.google.com/spreadsheets/d/1SX6NBoVAgQJ6U1MVXOaj8PK2l7WJ3RER9xtqwdhxkhw/edit?usp=sharing"",""ลพบุรี!I519"")"),0.0)</f>
        <v>0</v>
      </c>
      <c r="J624" s="222">
        <f>IFERROR(__xludf.DUMMYFUNCTION("IMPORTRANGE(""https://docs.google.com/spreadsheets/d/1SX6NBoVAgQJ6U1MVXOaj8PK2l7WJ3RER9xtqwdhxkhw/edit?usp=sharing"",""ลพบุรี!J519"")"),0.0)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IFERROR(__xludf.DUMMYFUNCTION("IMPORTRANGE(""https://docs.google.com/spreadsheets/d/1SX6NBoVAgQJ6U1MVXOaj8PK2l7WJ3RER9xtqwdhxkhw/edit?usp=sharing"",""ลพบุรี!I520"")"),0.0)</f>
        <v>0</v>
      </c>
      <c r="J625" s="223">
        <f>IFERROR(__xludf.DUMMYFUNCTION("IMPORTRANGE(""https://docs.google.com/spreadsheets/d/1SX6NBoVAgQJ6U1MVXOaj8PK2l7WJ3RER9xtqwdhxkhw/edit?usp=sharing"",""ลพบุรี!J520"")"),0.0)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IFERROR(__xludf.DUMMYFUNCTION("IMPORTRANGE(""https://docs.google.com/spreadsheets/d/1SX6NBoVAgQJ6U1MVXOaj8PK2l7WJ3RER9xtqwdhxkhw/edit?usp=sharing"",""ลพบุรี!I521"")"),0.0)</f>
        <v>0</v>
      </c>
      <c r="J626" s="223">
        <f>IFERROR(__xludf.DUMMYFUNCTION("IMPORTRANGE(""https://docs.google.com/spreadsheets/d/1SX6NBoVAgQJ6U1MVXOaj8PK2l7WJ3RER9xtqwdhxkhw/edit?usp=sharing"",""ลพบุรี!J521"")"),0.0)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IFERROR(__xludf.DUMMYFUNCTION("IMPORTRANGE(""https://docs.google.com/spreadsheets/d/1SX6NBoVAgQJ6U1MVXOaj8PK2l7WJ3RER9xtqwdhxkhw/edit?usp=sharing"",""ลพบุรี!I523"")"),1.093998904E7)</f>
        <v>10939989.04</v>
      </c>
      <c r="J628" s="374">
        <f>IFERROR(__xludf.DUMMYFUNCTION("IMPORTRANGE(""https://docs.google.com/spreadsheets/d/1SX6NBoVAgQJ6U1MVXOaj8PK2l7WJ3RER9xtqwdhxkhw/edit?usp=sharing"",""ลพบุรี!J523"")"),1720231.52)</f>
        <v>1720231.52</v>
      </c>
      <c r="K628" s="375">
        <f t="shared" ref="K628:K635" si="130">IF(I628&gt;0,J628*100/I628,0)</f>
        <v>15.72425268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IFERROR(__xludf.DUMMYFUNCTION("IMPORTRANGE(""https://docs.google.com/spreadsheets/d/1SX6NBoVAgQJ6U1MVXOaj8PK2l7WJ3RER9xtqwdhxkhw/edit?usp=sharing"",""ลพบุรี!I524"")"),387.0)</f>
        <v>387</v>
      </c>
      <c r="J629" s="374">
        <f>IFERROR(__xludf.DUMMYFUNCTION("IMPORTRANGE(""https://docs.google.com/spreadsheets/d/1SX6NBoVAgQJ6U1MVXOaj8PK2l7WJ3RER9xtqwdhxkhw/edit?usp=sharing"",""ลพบุรี!J524"")"),66.0)</f>
        <v>66</v>
      </c>
      <c r="K629" s="375">
        <f t="shared" si="130"/>
        <v>17.05426357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IFERROR(__xludf.DUMMYFUNCTION("IMPORTRANGE(""https://docs.google.com/spreadsheets/d/1SX6NBoVAgQJ6U1MVXOaj8PK2l7WJ3RER9xtqwdhxkhw/edit?usp=sharing"",""ลพบุรี!I525"")"),6595546.01)</f>
        <v>6595546.01</v>
      </c>
      <c r="J630" s="374">
        <f>IFERROR(__xludf.DUMMYFUNCTION("IMPORTRANGE(""https://docs.google.com/spreadsheets/d/1SX6NBoVAgQJ6U1MVXOaj8PK2l7WJ3RER9xtqwdhxkhw/edit?usp=sharing"",""ลพบุรี!J525"")"),235031.19)</f>
        <v>235031.19</v>
      </c>
      <c r="K630" s="375">
        <f t="shared" si="130"/>
        <v>3.563483442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IFERROR(__xludf.DUMMYFUNCTION("IMPORTRANGE(""https://docs.google.com/spreadsheets/d/1SX6NBoVAgQJ6U1MVXOaj8PK2l7WJ3RER9xtqwdhxkhw/edit?usp=sharing"",""ลพบุรี!I526"")"),307.0)</f>
        <v>307</v>
      </c>
      <c r="J631" s="374">
        <f>IFERROR(__xludf.DUMMYFUNCTION("IMPORTRANGE(""https://docs.google.com/spreadsheets/d/1SX6NBoVAgQJ6U1MVXOaj8PK2l7WJ3RER9xtqwdhxkhw/edit?usp=sharing"",""ลพบุรี!J526"")"),22.0)</f>
        <v>22</v>
      </c>
      <c r="K631" s="375">
        <f t="shared" si="130"/>
        <v>7.166123779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IFERROR(__xludf.DUMMYFUNCTION("IMPORTRANGE(""https://docs.google.com/spreadsheets/d/1SX6NBoVAgQJ6U1MVXOaj8PK2l7WJ3RER9xtqwdhxkhw/edit?usp=sharing"",""ลพบุรี!I527"")"),1.007138583E7)</f>
        <v>10071385.83</v>
      </c>
      <c r="J632" s="374">
        <f>IFERROR(__xludf.DUMMYFUNCTION("IMPORTRANGE(""https://docs.google.com/spreadsheets/d/1SX6NBoVAgQJ6U1MVXOaj8PK2l7WJ3RER9xtqwdhxkhw/edit?usp=sharing"",""ลพบุรี!J527"")"),773362.52)</f>
        <v>773362.52</v>
      </c>
      <c r="K632" s="375">
        <f t="shared" si="130"/>
        <v>7.678809382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IFERROR(__xludf.DUMMYFUNCTION("IMPORTRANGE(""https://docs.google.com/spreadsheets/d/1SX6NBoVAgQJ6U1MVXOaj8PK2l7WJ3RER9xtqwdhxkhw/edit?usp=sharing"",""ลพบุรี!I528"")"),1083.0)</f>
        <v>1083</v>
      </c>
      <c r="J633" s="374">
        <f>IFERROR(__xludf.DUMMYFUNCTION("IMPORTRANGE(""https://docs.google.com/spreadsheets/d/1SX6NBoVAgQJ6U1MVXOaj8PK2l7WJ3RER9xtqwdhxkhw/edit?usp=sharing"",""ลพบุรี!J528"")"),152.0)</f>
        <v>152</v>
      </c>
      <c r="K633" s="375">
        <f t="shared" si="130"/>
        <v>14.03508772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IFERROR(__xludf.DUMMYFUNCTION("IMPORTRANGE(""https://docs.google.com/spreadsheets/d/1SX6NBoVAgQJ6U1MVXOaj8PK2l7WJ3RER9xtqwdhxkhw/edit?usp=sharing"",""ลพบุรี!I529"")"),1.0E7)</f>
        <v>10000000</v>
      </c>
      <c r="J634" s="374">
        <f>IFERROR(__xludf.DUMMYFUNCTION("IMPORTRANGE(""https://docs.google.com/spreadsheets/d/1SX6NBoVAgQJ6U1MVXOaj8PK2l7WJ3RER9xtqwdhxkhw/edit?usp=sharing"",""ลพบุรี!J529"")"),1415000.0)</f>
        <v>1415000</v>
      </c>
      <c r="K634" s="375">
        <f t="shared" si="130"/>
        <v>14.15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IFERROR(__xludf.DUMMYFUNCTION("IMPORTRANGE(""https://docs.google.com/spreadsheets/d/1SX6NBoVAgQJ6U1MVXOaj8PK2l7WJ3RER9xtqwdhxkhw/edit?usp=sharing"",""ลพบุรี!I530"")"),333.0)</f>
        <v>333</v>
      </c>
      <c r="J635" s="544">
        <f>IFERROR(__xludf.DUMMYFUNCTION("IMPORTRANGE(""https://docs.google.com/spreadsheets/d/1SX6NBoVAgQJ6U1MVXOaj8PK2l7WJ3RER9xtqwdhxkhw/edit?usp=sharing"",""ลพบุรี!J530"")"),51.0)</f>
        <v>51</v>
      </c>
      <c r="K635" s="519">
        <f t="shared" si="130"/>
        <v>15.31531532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271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7667753</v>
      </c>
      <c r="M8" s="41">
        <f t="shared" si="1"/>
        <v>2503005</v>
      </c>
      <c r="N8" s="41">
        <f t="shared" si="1"/>
        <v>1540134.9</v>
      </c>
      <c r="O8" s="40">
        <f t="shared" ref="O8:O16" si="3">IF(L8&gt;0,N8*100/L8,0)</f>
        <v>20.08587001</v>
      </c>
      <c r="P8" s="40">
        <f t="shared" ref="P8:P16" si="4">IF(M8&gt;0,N8*100/M8,0)</f>
        <v>61.53143521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7667753</v>
      </c>
      <c r="M10" s="48">
        <f t="shared" si="5"/>
        <v>2503005</v>
      </c>
      <c r="N10" s="48">
        <f t="shared" si="5"/>
        <v>1540134.9</v>
      </c>
      <c r="O10" s="47">
        <f t="shared" si="3"/>
        <v>20.08587001</v>
      </c>
      <c r="P10" s="47">
        <f t="shared" si="4"/>
        <v>61.53143521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7472753</v>
      </c>
      <c r="M12" s="58">
        <f t="shared" si="7"/>
        <v>2503005</v>
      </c>
      <c r="N12" s="58">
        <f t="shared" si="7"/>
        <v>1345134.9</v>
      </c>
      <c r="O12" s="58">
        <f t="shared" si="3"/>
        <v>18.00052671</v>
      </c>
      <c r="P12" s="58">
        <f t="shared" si="4"/>
        <v>53.74079956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1924400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5548353</v>
      </c>
      <c r="M14" s="58">
        <f t="shared" si="9"/>
        <v>0</v>
      </c>
      <c r="N14" s="58">
        <f t="shared" si="9"/>
        <v>251511.9</v>
      </c>
      <c r="O14" s="61">
        <f t="shared" si="3"/>
        <v>4.533091171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195000</v>
      </c>
      <c r="M16" s="58">
        <f t="shared" si="11"/>
        <v>0</v>
      </c>
      <c r="N16" s="58">
        <f t="shared" si="11"/>
        <v>195000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4704275</v>
      </c>
      <c r="M18" s="41">
        <f t="shared" si="12"/>
        <v>2503005</v>
      </c>
      <c r="N18" s="41">
        <f t="shared" si="12"/>
        <v>1288623</v>
      </c>
      <c r="O18" s="40">
        <f t="shared" ref="O18:O20" si="14">IF(L18&gt;0,N18*100/L18,0)</f>
        <v>27.39259503</v>
      </c>
      <c r="P18" s="40">
        <f t="shared" ref="P18:P26" si="15">IF(M18&gt;0,N18*100/M18,0)</f>
        <v>51.48303739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4704275</v>
      </c>
      <c r="M20" s="48">
        <f t="shared" si="16"/>
        <v>2503005</v>
      </c>
      <c r="N20" s="48">
        <f t="shared" si="16"/>
        <v>1288623</v>
      </c>
      <c r="O20" s="47">
        <f t="shared" si="14"/>
        <v>27.39259503</v>
      </c>
      <c r="P20" s="47">
        <f t="shared" si="15"/>
        <v>51.48303739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4509275</v>
      </c>
      <c r="M22" s="62">
        <f t="shared" si="18"/>
        <v>2503005</v>
      </c>
      <c r="N22" s="61">
        <f t="shared" si="18"/>
        <v>1093623</v>
      </c>
      <c r="O22" s="61">
        <f t="shared" si="19"/>
        <v>24.25274573</v>
      </c>
      <c r="P22" s="61">
        <f t="shared" si="15"/>
        <v>43.69240173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1924400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2584875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195000</v>
      </c>
      <c r="M26" s="70">
        <f t="shared" si="23"/>
        <v>0</v>
      </c>
      <c r="N26" s="70">
        <f t="shared" si="23"/>
        <v>195000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2963478</v>
      </c>
      <c r="M28" s="41">
        <f t="shared" si="24"/>
        <v>0</v>
      </c>
      <c r="N28" s="41">
        <f t="shared" si="24"/>
        <v>251511.9</v>
      </c>
      <c r="O28" s="40">
        <f t="shared" ref="O28:O30" si="26">IF(L28&gt;0,N28*100/L28,0)</f>
        <v>8.487051363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2963478</v>
      </c>
      <c r="M30" s="48">
        <f t="shared" si="28"/>
        <v>0</v>
      </c>
      <c r="N30" s="48">
        <f t="shared" si="28"/>
        <v>251511.9</v>
      </c>
      <c r="O30" s="47">
        <f t="shared" si="26"/>
        <v>8.487051363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2963478</v>
      </c>
      <c r="M32" s="61">
        <f t="shared" si="30"/>
        <v>0</v>
      </c>
      <c r="N32" s="61">
        <f t="shared" si="30"/>
        <v>251511.9</v>
      </c>
      <c r="O32" s="61">
        <f t="shared" si="31"/>
        <v>8.487051363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2963478</v>
      </c>
      <c r="M34" s="61">
        <f t="shared" si="33"/>
        <v>0</v>
      </c>
      <c r="N34" s="61">
        <f t="shared" si="33"/>
        <v>251511.9</v>
      </c>
      <c r="O34" s="61">
        <f t="shared" si="31"/>
        <v>8.487051363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4704275</v>
      </c>
      <c r="M37" s="75">
        <f t="shared" si="34"/>
        <v>2503005</v>
      </c>
      <c r="N37" s="75">
        <f t="shared" si="34"/>
        <v>1288623</v>
      </c>
      <c r="O37" s="76">
        <f t="shared" si="31"/>
        <v>27.39259503</v>
      </c>
      <c r="P37" s="76">
        <f t="shared" si="27"/>
        <v>51.48303739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906900</v>
      </c>
      <c r="M41" s="102">
        <f t="shared" si="35"/>
        <v>453500</v>
      </c>
      <c r="N41" s="102">
        <f t="shared" si="35"/>
        <v>308744</v>
      </c>
      <c r="O41" s="101">
        <f t="shared" ref="O41:O43" si="37">IF(L41&gt;0,N41*100/L41,0)</f>
        <v>34.04388576</v>
      </c>
      <c r="P41" s="101">
        <f t="shared" ref="P41:P43" si="38">IF(M41&gt;0,N41*100/M41,0)</f>
        <v>68.08026461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906900</v>
      </c>
      <c r="M43" s="102">
        <f t="shared" si="39"/>
        <v>453500</v>
      </c>
      <c r="N43" s="102">
        <f t="shared" si="39"/>
        <v>308744</v>
      </c>
      <c r="O43" s="101">
        <f t="shared" si="37"/>
        <v>34.04388576</v>
      </c>
      <c r="P43" s="101">
        <f t="shared" si="38"/>
        <v>68.08026461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906900</v>
      </c>
      <c r="M45" s="115">
        <f>IFERROR(__xludf.DUMMYFUNCTION("IMPORTRANGE(""https://docs.google.com/spreadsheets/d/1Yj_ptqi66GCucihVvJfMjLAmec39IyEx_6qawtMGysU/edit?usp=sharing"",""สบก!Q75"")"),453500.0)</f>
        <v>453500</v>
      </c>
      <c r="N45" s="115">
        <f>IFERROR(__xludf.DUMMYFUNCTION("IMPORTRANGE(""https://docs.google.com/spreadsheets/d/1Yj_ptqi66GCucihVvJfMjLAmec39IyEx_6qawtMGysU/edit?usp=sharing"",""สบก!R75"")"),308744.0)</f>
        <v>308744</v>
      </c>
      <c r="O45" s="116">
        <f>IF(L45&gt;0,N45*100/L45,0)</f>
        <v>34.04388576</v>
      </c>
      <c r="P45" s="116">
        <f>IF(M45&gt;0,N45*100/M45,0)</f>
        <v>68.08026461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IFERROR(__xludf.DUMMYFUNCTION("IMPORTRANGE(""https://docs.google.com/spreadsheets/d/1Yj_ptqi66GCucihVvJfMjLAmec39IyEx_6qawtMGysU/edit?usp=sharing"",""สบก!M75"")"),906900.0)</f>
        <v>906900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IFERROR(__xludf.DUMMYFUNCTION("IMPORTRANGE(""https://docs.google.com/spreadsheets/d/1Yj_ptqi66GCucihVvJfMjLAmec39IyEx_6qawtMGysU/edit?usp=sharing"",""สบก!N75"")"),0.0)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IFERROR(__xludf.DUMMYFUNCTION("IMPORTRANGE(""https://docs.google.com/spreadsheets/d/1Yj_ptqi66GCucihVvJfMjLAmec39IyEx_6qawtMGysU/edit?usp=sharing"",""สบก!O75"")"),0.0)</f>
        <v>0</v>
      </c>
      <c r="M49" s="125"/>
      <c r="N49" s="115">
        <f>IFERROR(__xludf.DUMMYFUNCTION("IMPORTRANGE(""https://docs.google.com/spreadsheets/d/1Yj_ptqi66GCucihVvJfMjLAmec39IyEx_6qawtMGysU/edit?usp=sharing"",""สบก!S75"")"),0.0)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400000</v>
      </c>
      <c r="M53" s="151">
        <f t="shared" si="40"/>
        <v>216870</v>
      </c>
      <c r="N53" s="151">
        <f t="shared" si="40"/>
        <v>134767</v>
      </c>
      <c r="O53" s="150">
        <f t="shared" ref="O53:O55" si="42">IF(L53&gt;0,N53*100/L53,0)</f>
        <v>33.69175</v>
      </c>
      <c r="P53" s="150">
        <f t="shared" ref="P53:P55" si="43">IF(M53&gt;0,N53*100/M53,0)</f>
        <v>62.14183612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400000</v>
      </c>
      <c r="M55" s="151">
        <f t="shared" si="44"/>
        <v>216870</v>
      </c>
      <c r="N55" s="151">
        <f t="shared" si="44"/>
        <v>134767</v>
      </c>
      <c r="O55" s="150">
        <f t="shared" si="42"/>
        <v>33.69175</v>
      </c>
      <c r="P55" s="150">
        <f t="shared" si="43"/>
        <v>62.14183612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400000</v>
      </c>
      <c r="M57" s="115">
        <f>IFERROR(__xludf.DUMMYFUNCTION("IMPORTRANGE(""https://docs.google.com/spreadsheets/d/1Yj_ptqi66GCucihVvJfMjLAmec39IyEx_6qawtMGysU/edit?usp=sharing"",""สบก!Z75"")"),216870.0)</f>
        <v>216870</v>
      </c>
      <c r="N57" s="115">
        <f>IFERROR(__xludf.DUMMYFUNCTION("IMPORTRANGE(""https://docs.google.com/spreadsheets/d/1Yj_ptqi66GCucihVvJfMjLAmec39IyEx_6qawtMGysU/edit?usp=sharing"",""สบก!AA75"")"),134767.0)</f>
        <v>134767</v>
      </c>
      <c r="O57" s="116">
        <f>IF(L57&gt;0,N57*100/L57,0)</f>
        <v>33.69175</v>
      </c>
      <c r="P57" s="116">
        <f>IF(M57&gt;0,N57*100/M57,0)</f>
        <v>62.14183612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IFERROR(__xludf.DUMMYFUNCTION("IMPORTRANGE(""https://docs.google.com/spreadsheets/d/1Yj_ptqi66GCucihVvJfMjLAmec39IyEx_6qawtMGysU/edit?usp=sharing"",""สบก!V75"")"),400000.0)</f>
        <v>400000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IFERROR(__xludf.DUMMYFUNCTION("IMPORTRANGE(""https://docs.google.com/spreadsheets/d/1Yj_ptqi66GCucihVvJfMjLAmec39IyEx_6qawtMGysU/edit?usp=sharing"",""สบก!W75"")"),0.0)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IFERROR(__xludf.DUMMYFUNCTION("IMPORTRANGE(""https://docs.google.com/spreadsheets/d/1Yj_ptqi66GCucihVvJfMjLAmec39IyEx_6qawtMGysU/edit?usp=sharing"",""สบก!X75"")"),0.0)</f>
        <v>0</v>
      </c>
      <c r="M61" s="125"/>
      <c r="N61" s="115">
        <f>IFERROR(__xludf.DUMMYFUNCTION("IMPORTRANGE(""https://docs.google.com/spreadsheets/d/1Yj_ptqi66GCucihVvJfMjLAmec39IyEx_6qawtMGysU/edit?usp=sharing"",""สบก!AB75"")"),0.0)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IFERROR(__xludf.DUMMYFUNCTION("IMPORTRANGE(""https://docs.google.com/spreadsheets/d/1SX6NBoVAgQJ6U1MVXOaj8PK2l7WJ3RER9xtqwdhxkhw/edit?usp=sharing"",""สระแก้ว!I9"")"),1.0)</f>
        <v>1</v>
      </c>
      <c r="J64" s="172">
        <f>IFERROR(__xludf.DUMMYFUNCTION("IMPORTRANGE(""https://docs.google.com/spreadsheets/d/1SX6NBoVAgQJ6U1MVXOaj8PK2l7WJ3RER9xtqwdhxkhw/edit?usp=sharing"",""สระแก้ว!J9"")"),0.0)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IFERROR(__xludf.DUMMYFUNCTION("IMPORTRANGE(""https://docs.google.com/spreadsheets/d/1SX6NBoVAgQJ6U1MVXOaj8PK2l7WJ3RER9xtqwdhxkhw/edit?usp=sharing"",""สระแก้ว!I10"")"),70.0)</f>
        <v>70</v>
      </c>
      <c r="J65" s="172">
        <f>IFERROR(__xludf.DUMMYFUNCTION("IMPORTRANGE(""https://docs.google.com/spreadsheets/d/1SX6NBoVAgQJ6U1MVXOaj8PK2l7WJ3RER9xtqwdhxkhw/edit?usp=sharing"",""สระแก้ว!J10"")"),0.0)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827500</v>
      </c>
      <c r="M66" s="183">
        <f t="shared" si="46"/>
        <v>426320</v>
      </c>
      <c r="N66" s="183">
        <f t="shared" si="46"/>
        <v>142535</v>
      </c>
      <c r="O66" s="182">
        <f t="shared" ref="O66:O68" si="48">IF(L66&gt;0,N66*100/L66,0)</f>
        <v>17.22477341</v>
      </c>
      <c r="P66" s="182">
        <f t="shared" ref="P66:P68" si="49">IF(M66&gt;0,N66*100/M66,0)</f>
        <v>33.43380559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827500</v>
      </c>
      <c r="M68" s="188">
        <f t="shared" si="50"/>
        <v>426320</v>
      </c>
      <c r="N68" s="188">
        <f t="shared" si="50"/>
        <v>142535</v>
      </c>
      <c r="O68" s="187">
        <f t="shared" si="48"/>
        <v>17.22477341</v>
      </c>
      <c r="P68" s="187">
        <f t="shared" si="49"/>
        <v>33.43380559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779500</v>
      </c>
      <c r="M70" s="201">
        <f>IFERROR(__xludf.DUMMYFUNCTION("IMPORTRANGE(""https://docs.google.com/spreadsheets/d/1Yj_ptqi66GCucihVvJfMjLAmec39IyEx_6qawtMGysU/edit?usp=sharing"",""สบก!AI75"")"),426320.0)</f>
        <v>426320</v>
      </c>
      <c r="N70" s="202">
        <f>IFERROR(__xludf.DUMMYFUNCTION("IMPORTRANGE(""https://docs.google.com/spreadsheets/d/1Yj_ptqi66GCucihVvJfMjLAmec39IyEx_6qawtMGysU/edit?usp=sharing"",""สบก!AJ75"")"),94535.0)</f>
        <v>94535</v>
      </c>
      <c r="O70" s="203">
        <f>IF(L70&gt;0,N70*100/L70,0)</f>
        <v>12.12764593</v>
      </c>
      <c r="P70" s="203">
        <f>IF(M70&gt;0,N70*100/M70,0)</f>
        <v>22.17465753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IFERROR(__xludf.DUMMYFUNCTION("IMPORTRANGE(""https://docs.google.com/spreadsheets/d/1Yj_ptqi66GCucihVvJfMjLAmec39IyEx_6qawtMGysU/edit?usp=sharing"",""สบก!AE75"")"),179500.0)</f>
        <v>179500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IFERROR(__xludf.DUMMYFUNCTION("IMPORTRANGE(""https://docs.google.com/spreadsheets/d/1Yj_ptqi66GCucihVvJfMjLAmec39IyEx_6qawtMGysU/edit?usp=sharing"",""สบก!AF75"")"),600000.0)</f>
        <v>600000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IFERROR(__xludf.DUMMYFUNCTION("IMPORTRANGE(""https://docs.google.com/spreadsheets/d/1Yj_ptqi66GCucihVvJfMjLAmec39IyEx_6qawtMGysU/edit?usp=sharing"",""สบก!AG75"")"),48000.0)</f>
        <v>48000</v>
      </c>
      <c r="M74" s="125"/>
      <c r="N74" s="115">
        <f>IFERROR(__xludf.DUMMYFUNCTION("IMPORTRANGE(""https://docs.google.com/spreadsheets/d/1Yj_ptqi66GCucihVvJfMjLAmec39IyEx_6qawtMGysU/edit?usp=sharing"",""สบก!AK75"")"),48000.0)</f>
        <v>48000</v>
      </c>
      <c r="O74" s="125">
        <f>IF(L74&gt;0,N74*100/L74,0)</f>
        <v>100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IFERROR(__xludf.DUMMYFUNCTION("IMPORTRANGE(""https://docs.google.com/spreadsheets/d/1SX6NBoVAgQJ6U1MVXOaj8PK2l7WJ3RER9xtqwdhxkhw/edit?usp=sharing"",""สระแก้ว!J16"")"),1.0)</f>
        <v>1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IFERROR(__xludf.DUMMYFUNCTION("IMPORTRANGE(""https://docs.google.com/spreadsheets/d/1SX6NBoVAgQJ6U1MVXOaj8PK2l7WJ3RER9xtqwdhxkhw/edit?usp=sharing"",""สระแก้ว!J17"")"),0.0)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IFERROR(__xludf.DUMMYFUNCTION("IMPORTRANGE(""https://docs.google.com/spreadsheets/d/1SX6NBoVAgQJ6U1MVXOaj8PK2l7WJ3RER9xtqwdhxkhw/edit?usp=sharing"",""สระแก้ว!J18"")"),0.0)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IFERROR(__xludf.DUMMYFUNCTION("IMPORTRANGE(""https://docs.google.com/spreadsheets/d/1SX6NBoVAgQJ6U1MVXOaj8PK2l7WJ3RER9xtqwdhxkhw/edit?usp=sharing"",""สระแก้ว!J19"")"),0.0)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IFERROR(__xludf.DUMMYFUNCTION("IMPORTRANGE(""https://docs.google.com/spreadsheets/d/1SX6NBoVAgQJ6U1MVXOaj8PK2l7WJ3RER9xtqwdhxkhw/edit?usp=sharing"",""สระแก้ว!I20"")"),1.0)</f>
        <v>1</v>
      </c>
      <c r="J80" s="235">
        <f>IFERROR(__xludf.DUMMYFUNCTION("IMPORTRANGE(""https://docs.google.com/spreadsheets/d/1SX6NBoVAgQJ6U1MVXOaj8PK2l7WJ3RER9xtqwdhxkhw/edit?usp=sharing"",""สระแก้ว!J20"")"),0.0)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IFERROR(__xludf.DUMMYFUNCTION("IMPORTRANGE(""https://docs.google.com/spreadsheets/d/1SX6NBoVAgQJ6U1MVXOaj8PK2l7WJ3RER9xtqwdhxkhw/edit?usp=sharing"",""สระแก้ว!I21"")"),70.0)</f>
        <v>70</v>
      </c>
      <c r="J81" s="235">
        <f>IFERROR(__xludf.DUMMYFUNCTION("IMPORTRANGE(""https://docs.google.com/spreadsheets/d/1SX6NBoVAgQJ6U1MVXOaj8PK2l7WJ3RER9xtqwdhxkhw/edit?usp=sharing"",""สระแก้ว!J21"")"),0.0)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IFERROR(__xludf.DUMMYFUNCTION("IMPORTRANGE(""https://docs.google.com/spreadsheets/d/1SX6NBoVAgQJ6U1MVXOaj8PK2l7WJ3RER9xtqwdhxkhw/edit?usp=sharing"",""สระแก้ว!I22"")"),1.0)</f>
        <v>1</v>
      </c>
      <c r="J82" s="238">
        <f>IFERROR(__xludf.DUMMYFUNCTION("IMPORTRANGE(""https://docs.google.com/spreadsheets/d/1SX6NBoVAgQJ6U1MVXOaj8PK2l7WJ3RER9xtqwdhxkhw/edit?usp=sharing"",""สระแก้ว!J22"")"),0.0)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IFERROR(__xludf.DUMMYFUNCTION("IMPORTRANGE(""https://docs.google.com/spreadsheets/d/1SX6NBoVAgQJ6U1MVXOaj8PK2l7WJ3RER9xtqwdhxkhw/edit?usp=sharing"",""สระแก้ว!I23"")"),70.0)</f>
        <v>70</v>
      </c>
      <c r="J83" s="238">
        <f>IFERROR(__xludf.DUMMYFUNCTION("IMPORTRANGE(""https://docs.google.com/spreadsheets/d/1SX6NBoVAgQJ6U1MVXOaj8PK2l7WJ3RER9xtqwdhxkhw/edit?usp=sharing"",""สระแก้ว!J23"")"),0.0)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IFERROR(__xludf.DUMMYFUNCTION("IMPORTRANGE(""https://docs.google.com/spreadsheets/d/1SX6NBoVAgQJ6U1MVXOaj8PK2l7WJ3RER9xtqwdhxkhw/edit?usp=sharing"",""สระแก้ว!I24"")"),0.0)</f>
        <v>0</v>
      </c>
      <c r="J84" s="223">
        <f>IFERROR(__xludf.DUMMYFUNCTION("IMPORTRANGE(""https://docs.google.com/spreadsheets/d/1SX6NBoVAgQJ6U1MVXOaj8PK2l7WJ3RER9xtqwdhxkhw/edit?usp=sharing"",""สระแก้ว!J24"")"),0.0)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IFERROR(__xludf.DUMMYFUNCTION("IMPORTRANGE(""https://docs.google.com/spreadsheets/d/1SX6NBoVAgQJ6U1MVXOaj8PK2l7WJ3RER9xtqwdhxkhw/edit?usp=sharing"",""สระแก้ว!I25"")"),0.0)</f>
        <v>0</v>
      </c>
      <c r="J85" s="223">
        <f>IFERROR(__xludf.DUMMYFUNCTION("IMPORTRANGE(""https://docs.google.com/spreadsheets/d/1SX6NBoVAgQJ6U1MVXOaj8PK2l7WJ3RER9xtqwdhxkhw/edit?usp=sharing"",""สระแก้ว!J25"")"),0.0)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IFERROR(__xludf.DUMMYFUNCTION("IMPORTRANGE(""https://docs.google.com/spreadsheets/d/1SX6NBoVAgQJ6U1MVXOaj8PK2l7WJ3RER9xtqwdhxkhw/edit?usp=sharing"",""สระแก้ว!I26"")"),0.0)</f>
        <v>0</v>
      </c>
      <c r="J86" s="238">
        <f>IFERROR(__xludf.DUMMYFUNCTION("IMPORTRANGE(""https://docs.google.com/spreadsheets/d/1SX6NBoVAgQJ6U1MVXOaj8PK2l7WJ3RER9xtqwdhxkhw/edit?usp=sharing"",""สระแก้ว!J26"")"),0.0)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IFERROR(__xludf.DUMMYFUNCTION("IMPORTRANGE(""https://docs.google.com/spreadsheets/d/1SX6NBoVAgQJ6U1MVXOaj8PK2l7WJ3RER9xtqwdhxkhw/edit?usp=sharing"",""สระแก้ว!I27"")"),0.0)</f>
        <v>0</v>
      </c>
      <c r="J87" s="238">
        <f>IFERROR(__xludf.DUMMYFUNCTION("IMPORTRANGE(""https://docs.google.com/spreadsheets/d/1SX6NBoVAgQJ6U1MVXOaj8PK2l7WJ3RER9xtqwdhxkhw/edit?usp=sharing"",""สระแก้ว!J27"")"),0.0)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IFERROR(__xludf.DUMMYFUNCTION("IMPORTRANGE(""https://docs.google.com/spreadsheets/d/1SX6NBoVAgQJ6U1MVXOaj8PK2l7WJ3RER9xtqwdhxkhw/edit?usp=sharing"",""สระแก้ว!I28"")"),70.0)</f>
        <v>70</v>
      </c>
      <c r="J88" s="238">
        <f>IFERROR(__xludf.DUMMYFUNCTION("IMPORTRANGE(""https://docs.google.com/spreadsheets/d/1SX6NBoVAgQJ6U1MVXOaj8PK2l7WJ3RER9xtqwdhxkhw/edit?usp=sharing"",""สระแก้ว!J28"")"),0.0)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IFERROR(__xludf.DUMMYFUNCTION("IMPORTRANGE(""https://docs.google.com/spreadsheets/d/1SX6NBoVAgQJ6U1MVXOaj8PK2l7WJ3RER9xtqwdhxkhw/edit?usp=sharing"",""สระแก้ว!J29"")"),0.0)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IFERROR(__xludf.DUMMYFUNCTION("IMPORTRANGE(""https://docs.google.com/spreadsheets/d/1SX6NBoVAgQJ6U1MVXOaj8PK2l7WJ3RER9xtqwdhxkhw/edit?usp=sharing"",""สระแก้ว!J30"")"),0.0)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IFERROR(__xludf.DUMMYFUNCTION("IMPORTRANGE(""https://docs.google.com/spreadsheets/d/1SX6NBoVAgQJ6U1MVXOaj8PK2l7WJ3RER9xtqwdhxkhw/edit?usp=sharing"",""สระแก้ว!I32"")"),0.0)</f>
        <v>0</v>
      </c>
      <c r="J92" s="172">
        <f>IFERROR(__xludf.DUMMYFUNCTION("IMPORTRANGE(""https://docs.google.com/spreadsheets/d/1SX6NBoVAgQJ6U1MVXOaj8PK2l7WJ3RER9xtqwdhxkhw/edit?usp=sharing"",""สระแก้ว!J32"")"),0.0)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IFERROR(__xludf.DUMMYFUNCTION("IMPORTRANGE(""https://docs.google.com/spreadsheets/d/1SX6NBoVAgQJ6U1MVXOaj8PK2l7WJ3RER9xtqwdhxkhw/edit?usp=sharing"",""สระแก้ว!I33"")"),0.0)</f>
        <v>0</v>
      </c>
      <c r="J93" s="172">
        <f>IFERROR(__xludf.DUMMYFUNCTION("IMPORTRANGE(""https://docs.google.com/spreadsheets/d/1SX6NBoVAgQJ6U1MVXOaj8PK2l7WJ3RER9xtqwdhxkhw/edit?usp=sharing"",""สระแก้ว!J33"")"),0.0)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IFERROR(__xludf.DUMMYFUNCTION("IMPORTRANGE(""https://docs.google.com/spreadsheets/d/1Yj_ptqi66GCucihVvJfMjLAmec39IyEx_6qawtMGysU/edit?usp=sharing"",""สบก!AR75"")"),0.0)</f>
        <v>0</v>
      </c>
      <c r="N98" s="202">
        <f>IFERROR(__xludf.DUMMYFUNCTION("IMPORTRANGE(""https://docs.google.com/spreadsheets/d/1Yj_ptqi66GCucihVvJfMjLAmec39IyEx_6qawtMGysU/edit?usp=sharing"",""สบก!AS75"")"),0.0)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IFERROR(__xludf.DUMMYFUNCTION("IMPORTRANGE(""https://docs.google.com/spreadsheets/d/1Yj_ptqi66GCucihVvJfMjLAmec39IyEx_6qawtMGysU/edit?usp=sharing"",""สบก!AN75"")"),0.0)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IFERROR(__xludf.DUMMYFUNCTION("IMPORTRANGE(""https://docs.google.com/spreadsheets/d/1Yj_ptqi66GCucihVvJfMjLAmec39IyEx_6qawtMGysU/edit?usp=sharing"",""สบก!AO75"")"),0.0)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IFERROR(__xludf.DUMMYFUNCTION("IMPORTRANGE(""https://docs.google.com/spreadsheets/d/1Yj_ptqi66GCucihVvJfMjLAmec39IyEx_6qawtMGysU/edit?usp=sharing"",""สบก!AP75"")"),0.0)</f>
        <v>0</v>
      </c>
      <c r="M102" s="125"/>
      <c r="N102" s="115">
        <f>IFERROR(__xludf.DUMMYFUNCTION("IMPORTRANGE(""https://docs.google.com/spreadsheets/d/1Yj_ptqi66GCucihVvJfMjLAmec39IyEx_6qawtMGysU/edit?usp=sharing"",""สบก!AT75"")"),0.0)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IFERROR(__xludf.DUMMYFUNCTION("IMPORTRANGE(""https://docs.google.com/spreadsheets/d/1SX6NBoVAgQJ6U1MVXOaj8PK2l7WJ3RER9xtqwdhxkhw/edit?usp=sharing"",""สระแก้ว!J39"")"),0.0)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IFERROR(__xludf.DUMMYFUNCTION("IMPORTRANGE(""https://docs.google.com/spreadsheets/d/1SX6NBoVAgQJ6U1MVXOaj8PK2l7WJ3RER9xtqwdhxkhw/edit?usp=sharing"",""สระแก้ว!J40"")"),0.0)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IFERROR(__xludf.DUMMYFUNCTION("IMPORTRANGE(""https://docs.google.com/spreadsheets/d/1SX6NBoVAgQJ6U1MVXOaj8PK2l7WJ3RER9xtqwdhxkhw/edit?usp=sharing"",""สระแก้ว!J41"")"),0.0)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IFERROR(__xludf.DUMMYFUNCTION("IMPORTRANGE(""https://docs.google.com/spreadsheets/d/1SX6NBoVAgQJ6U1MVXOaj8PK2l7WJ3RER9xtqwdhxkhw/edit?usp=sharing"",""สระแก้ว!J42"")"),0.0)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IFERROR(__xludf.DUMMYFUNCTION("IMPORTRANGE(""https://docs.google.com/spreadsheets/d/1SX6NBoVAgQJ6U1MVXOaj8PK2l7WJ3RER9xtqwdhxkhw/edit?usp=sharing"",""สระแก้ว!I43"")"),0.0)</f>
        <v>0</v>
      </c>
      <c r="J108" s="238">
        <f>IFERROR(__xludf.DUMMYFUNCTION("IMPORTRANGE(""https://docs.google.com/spreadsheets/d/1SX6NBoVAgQJ6U1MVXOaj8PK2l7WJ3RER9xtqwdhxkhw/edit?usp=sharing"",""สระแก้ว!J43"")"),0.0)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IFERROR(__xludf.DUMMYFUNCTION("IMPORTRANGE(""https://docs.google.com/spreadsheets/d/1SX6NBoVAgQJ6U1MVXOaj8PK2l7WJ3RER9xtqwdhxkhw/edit?usp=sharing"",""สระแก้ว!I44"")"),0.0)</f>
        <v>0</v>
      </c>
      <c r="J109" s="238">
        <f>IFERROR(__xludf.DUMMYFUNCTION("IMPORTRANGE(""https://docs.google.com/spreadsheets/d/1SX6NBoVAgQJ6U1MVXOaj8PK2l7WJ3RER9xtqwdhxkhw/edit?usp=sharing"",""สระแก้ว!J44"")"),0.0)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IFERROR(__xludf.DUMMYFUNCTION("IMPORTRANGE(""https://docs.google.com/spreadsheets/d/1SX6NBoVAgQJ6U1MVXOaj8PK2l7WJ3RER9xtqwdhxkhw/edit?usp=sharing"",""สระแก้ว!I45"")"),0.0)</f>
        <v>0</v>
      </c>
      <c r="J110" s="238">
        <f>IFERROR(__xludf.DUMMYFUNCTION("IMPORTRANGE(""https://docs.google.com/spreadsheets/d/1SX6NBoVAgQJ6U1MVXOaj8PK2l7WJ3RER9xtqwdhxkhw/edit?usp=sharing"",""สระแก้ว!J45"")"),0.0)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IFERROR(__xludf.DUMMYFUNCTION("IMPORTRANGE(""https://docs.google.com/spreadsheets/d/1SX6NBoVAgQJ6U1MVXOaj8PK2l7WJ3RER9xtqwdhxkhw/edit?usp=sharing"",""สระแก้ว!I46"")"),0.0)</f>
        <v>0</v>
      </c>
      <c r="J111" s="238">
        <f>IFERROR(__xludf.DUMMYFUNCTION("IMPORTRANGE(""https://docs.google.com/spreadsheets/d/1SX6NBoVAgQJ6U1MVXOaj8PK2l7WJ3RER9xtqwdhxkhw/edit?usp=sharing"",""สระแก้ว!J46"")"),0.0)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IFERROR(__xludf.DUMMYFUNCTION("IMPORTRANGE(""https://docs.google.com/spreadsheets/d/1SX6NBoVAgQJ6U1MVXOaj8PK2l7WJ3RER9xtqwdhxkhw/edit?usp=sharing"",""สระแก้ว!I47"")"),0.0)</f>
        <v>0</v>
      </c>
      <c r="J112" s="238">
        <f>IFERROR(__xludf.DUMMYFUNCTION("IMPORTRANGE(""https://docs.google.com/spreadsheets/d/1SX6NBoVAgQJ6U1MVXOaj8PK2l7WJ3RER9xtqwdhxkhw/edit?usp=sharing"",""สระแก้ว!J47"")"),0.0)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IFERROR(__xludf.DUMMYFUNCTION("IMPORTRANGE(""https://docs.google.com/spreadsheets/d/1SX6NBoVAgQJ6U1MVXOaj8PK2l7WJ3RER9xtqwdhxkhw/edit?usp=sharing"",""สระแก้ว!I48"")"),0.0)</f>
        <v>0</v>
      </c>
      <c r="J113" s="238">
        <f>IFERROR(__xludf.DUMMYFUNCTION("IMPORTRANGE(""https://docs.google.com/spreadsheets/d/1SX6NBoVAgQJ6U1MVXOaj8PK2l7WJ3RER9xtqwdhxkhw/edit?usp=sharing"",""สระแก้ว!J48"")"),0.0)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IFERROR(__xludf.DUMMYFUNCTION("IMPORTRANGE(""https://docs.google.com/spreadsheets/d/1SX6NBoVAgQJ6U1MVXOaj8PK2l7WJ3RER9xtqwdhxkhw/edit?usp=sharing"",""สระแก้ว!J49"")"),0.0)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IFERROR(__xludf.DUMMYFUNCTION("IMPORTRANGE(""https://docs.google.com/spreadsheets/d/1SX6NBoVAgQJ6U1MVXOaj8PK2l7WJ3RER9xtqwdhxkhw/edit?usp=sharing"",""สระแก้ว!J50"")"),0.0)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IFERROR(__xludf.DUMMYFUNCTION("IMPORTRANGE(""https://docs.google.com/spreadsheets/d/1SX6NBoVAgQJ6U1MVXOaj8PK2l7WJ3RER9xtqwdhxkhw/edit?usp=sharing"",""สระแก้ว!I52"")"),0.0)</f>
        <v>0</v>
      </c>
      <c r="J117" s="172">
        <f>IFERROR(__xludf.DUMMYFUNCTION("IMPORTRANGE(""https://docs.google.com/spreadsheets/d/1SX6NBoVAgQJ6U1MVXOaj8PK2l7WJ3RER9xtqwdhxkhw/edit?usp=sharing"",""สระแก้ว!J52"")"),0.0)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IFERROR(__xludf.DUMMYFUNCTION("IMPORTRANGE(""https://docs.google.com/spreadsheets/d/1Yj_ptqi66GCucihVvJfMjLAmec39IyEx_6qawtMGysU/edit?usp=sharing"",""สบก!BA75"")"),0.0)</f>
        <v>0</v>
      </c>
      <c r="N122" s="202">
        <f>IFERROR(__xludf.DUMMYFUNCTION("IMPORTRANGE(""https://docs.google.com/spreadsheets/d/1Yj_ptqi66GCucihVvJfMjLAmec39IyEx_6qawtMGysU/edit?usp=sharing"",""สบก!BB75"")"),0.0)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IFERROR(__xludf.DUMMYFUNCTION("IMPORTRANGE(""https://docs.google.com/spreadsheets/d/1Yj_ptqi66GCucihVvJfMjLAmec39IyEx_6qawtMGysU/edit?usp=sharing"",""สบก!AW75"")"),0.0)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IFERROR(__xludf.DUMMYFUNCTION("IMPORTRANGE(""https://docs.google.com/spreadsheets/d/1Yj_ptqi66GCucihVvJfMjLAmec39IyEx_6qawtMGysU/edit?usp=sharing"",""สบก!AX75"")"),0.0)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IFERROR(__xludf.DUMMYFUNCTION("IMPORTRANGE(""https://docs.google.com/spreadsheets/d/1Yj_ptqi66GCucihVvJfMjLAmec39IyEx_6qawtMGysU/edit?usp=sharing"",""สบก!AY75"")"),0.0)</f>
        <v>0</v>
      </c>
      <c r="M126" s="125"/>
      <c r="N126" s="115">
        <f>IFERROR(__xludf.DUMMYFUNCTION("IMPORTRANGE(""https://docs.google.com/spreadsheets/d/1Yj_ptqi66GCucihVvJfMjLAmec39IyEx_6qawtMGysU/edit?usp=sharing"",""สบก!BC75"")"),0.0)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IFERROR(__xludf.DUMMYFUNCTION("IMPORTRANGE(""https://docs.google.com/spreadsheets/d/1SX6NBoVAgQJ6U1MVXOaj8PK2l7WJ3RER9xtqwdhxkhw/edit?usp=sharing"",""สระแก้ว!J58"")"),0.0)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IFERROR(__xludf.DUMMYFUNCTION("IMPORTRANGE(""https://docs.google.com/spreadsheets/d/1SX6NBoVAgQJ6U1MVXOaj8PK2l7WJ3RER9xtqwdhxkhw/edit?usp=sharing"",""สระแก้ว!J59"")"),0.0)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IFERROR(__xludf.DUMMYFUNCTION("IMPORTRANGE(""https://docs.google.com/spreadsheets/d/1SX6NBoVAgQJ6U1MVXOaj8PK2l7WJ3RER9xtqwdhxkhw/edit?usp=sharing"",""สระแก้ว!J60"")"),0.0)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IFERROR(__xludf.DUMMYFUNCTION("IMPORTRANGE(""https://docs.google.com/spreadsheets/d/1SX6NBoVAgQJ6U1MVXOaj8PK2l7WJ3RER9xtqwdhxkhw/edit?usp=sharing"",""สระแก้ว!J61"")"),0.0)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IFERROR(__xludf.DUMMYFUNCTION("IMPORTRANGE(""https://docs.google.com/spreadsheets/d/1SX6NBoVAgQJ6U1MVXOaj8PK2l7WJ3RER9xtqwdhxkhw/edit?usp=sharing"",""สระแก้ว!I62"")"),0.0)</f>
        <v>0</v>
      </c>
      <c r="J132" s="238">
        <f>IFERROR(__xludf.DUMMYFUNCTION("IMPORTRANGE(""https://docs.google.com/spreadsheets/d/1SX6NBoVAgQJ6U1MVXOaj8PK2l7WJ3RER9xtqwdhxkhw/edit?usp=sharing"",""สระแก้ว!J62"")"),0.0)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IFERROR(__xludf.DUMMYFUNCTION("IMPORTRANGE(""https://docs.google.com/spreadsheets/d/1SX6NBoVAgQJ6U1MVXOaj8PK2l7WJ3RER9xtqwdhxkhw/edit?usp=sharing"",""สระแก้ว!I63"")"),0.0)</f>
        <v>0</v>
      </c>
      <c r="J133" s="238">
        <f>IFERROR(__xludf.DUMMYFUNCTION("IMPORTRANGE(""https://docs.google.com/spreadsheets/d/1SX6NBoVAgQJ6U1MVXOaj8PK2l7WJ3RER9xtqwdhxkhw/edit?usp=sharing"",""สระแก้ว!J63"")"),0.0)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IFERROR(__xludf.DUMMYFUNCTION("IMPORTRANGE(""https://docs.google.com/spreadsheets/d/1SX6NBoVAgQJ6U1MVXOaj8PK2l7WJ3RER9xtqwdhxkhw/edit?usp=sharing"",""สระแก้ว!J64"")"),0.0)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IFERROR(__xludf.DUMMYFUNCTION("IMPORTRANGE(""https://docs.google.com/spreadsheets/d/1SX6NBoVAgQJ6U1MVXOaj8PK2l7WJ3RER9xtqwdhxkhw/edit?usp=sharing"",""สระแก้ว!J65"")"),0.0)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IFERROR(__xludf.DUMMYFUNCTION("IMPORTRANGE(""https://docs.google.com/spreadsheets/d/1SX6NBoVAgQJ6U1MVXOaj8PK2l7WJ3RER9xtqwdhxkhw/edit?usp=sharing"",""สระแก้ว!I68"")"),60.0)</f>
        <v>60</v>
      </c>
      <c r="J138" s="301">
        <f>IFERROR(__xludf.DUMMYFUNCTION("IMPORTRANGE(""https://docs.google.com/spreadsheets/d/1SX6NBoVAgQJ6U1MVXOaj8PK2l7WJ3RER9xtqwdhxkhw/edit?usp=sharing"",""สระแก้ว!J68"")"),0.0)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479100</v>
      </c>
      <c r="M140" s="183">
        <f t="shared" si="65"/>
        <v>286850</v>
      </c>
      <c r="N140" s="183">
        <f t="shared" si="65"/>
        <v>67719</v>
      </c>
      <c r="O140" s="182">
        <f t="shared" ref="O140:O142" si="67">IF(L140&gt;0,N140*100/L140,0)</f>
        <v>14.13462743</v>
      </c>
      <c r="P140" s="182">
        <f t="shared" ref="P140:P142" si="68">IF(M140&gt;0,N140*100/M140,0)</f>
        <v>23.60780896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479100</v>
      </c>
      <c r="M142" s="188">
        <f t="shared" si="69"/>
        <v>286850</v>
      </c>
      <c r="N142" s="188">
        <f t="shared" si="69"/>
        <v>67719</v>
      </c>
      <c r="O142" s="187">
        <f t="shared" si="67"/>
        <v>14.13462743</v>
      </c>
      <c r="P142" s="187">
        <f t="shared" si="68"/>
        <v>23.60780896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479100</v>
      </c>
      <c r="M144" s="201">
        <f>IFERROR(__xludf.DUMMYFUNCTION("IMPORTRANGE(""https://docs.google.com/spreadsheets/d/1Yj_ptqi66GCucihVvJfMjLAmec39IyEx_6qawtMGysU/edit?usp=sharing"",""สบก!BJ75"")"),286850.0)</f>
        <v>286850</v>
      </c>
      <c r="N144" s="202">
        <f>IFERROR(__xludf.DUMMYFUNCTION("IMPORTRANGE(""https://docs.google.com/spreadsheets/d/1Yj_ptqi66GCucihVvJfMjLAmec39IyEx_6qawtMGysU/edit?usp=sharing"",""สบก!BK75"")"),67719.0)</f>
        <v>67719</v>
      </c>
      <c r="O144" s="203">
        <f>IF(L144&gt;0,N144*100/L144,0)</f>
        <v>14.13462743</v>
      </c>
      <c r="P144" s="203">
        <f>IF(M144&gt;0,N144*100/M144,0)</f>
        <v>23.60780896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IFERROR(__xludf.DUMMYFUNCTION("IMPORTRANGE(""https://docs.google.com/spreadsheets/d/1Yj_ptqi66GCucihVvJfMjLAmec39IyEx_6qawtMGysU/edit?usp=sharing"",""สบก!BF75"")"),132000.0)</f>
        <v>132000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IFERROR(__xludf.DUMMYFUNCTION("IMPORTRANGE(""https://docs.google.com/spreadsheets/d/1Yj_ptqi66GCucihVvJfMjLAmec39IyEx_6qawtMGysU/edit?usp=sharing"",""สบก!BG75"")"),347100.0)</f>
        <v>347100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IFERROR(__xludf.DUMMYFUNCTION("IMPORTRANGE(""https://docs.google.com/spreadsheets/d/1Yj_ptqi66GCucihVvJfMjLAmec39IyEx_6qawtMGysU/edit?usp=sharing"",""สบก!BH75"")"),0.0)</f>
        <v>0</v>
      </c>
      <c r="M148" s="125"/>
      <c r="N148" s="115">
        <f>IFERROR(__xludf.DUMMYFUNCTION("IMPORTRANGE(""https://docs.google.com/spreadsheets/d/1Yj_ptqi66GCucihVvJfMjLAmec39IyEx_6qawtMGysU/edit?usp=sharing"",""สบก!BL75"")"),0.0)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IFERROR(__xludf.DUMMYFUNCTION("IMPORTRANGE(""https://docs.google.com/spreadsheets/d/1SX6NBoVAgQJ6U1MVXOaj8PK2l7WJ3RER9xtqwdhxkhw/edit?usp=sharing"",""สระแก้ว!I74"")"),4.0)</f>
        <v>4</v>
      </c>
      <c r="J149" s="309">
        <f>IFERROR(__xludf.DUMMYFUNCTION("IMPORTRANGE(""https://docs.google.com/spreadsheets/d/1SX6NBoVAgQJ6U1MVXOaj8PK2l7WJ3RER9xtqwdhxkhw/edit?usp=sharing"",""สระแก้ว!J74"")"),1.0)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IFERROR(__xludf.DUMMYFUNCTION("IMPORTRANGE(""https://docs.google.com/spreadsheets/d/1SX6NBoVAgQJ6U1MVXOaj8PK2l7WJ3RER9xtqwdhxkhw/edit?usp=sharing"",""สระแก้ว!J79"")"),0.0)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IFERROR(__xludf.DUMMYFUNCTION("IMPORTRANGE(""https://docs.google.com/spreadsheets/d/1SX6NBoVAgQJ6U1MVXOaj8PK2l7WJ3RER9xtqwdhxkhw/edit?usp=sharing"",""สระแก้ว!J80"")"),1.0)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IFERROR(__xludf.DUMMYFUNCTION("IMPORTRANGE(""https://docs.google.com/spreadsheets/d/1SX6NBoVAgQJ6U1MVXOaj8PK2l7WJ3RER9xtqwdhxkhw/edit?usp=sharing"",""สระแก้ว!J81"")"),0.0)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IFERROR(__xludf.DUMMYFUNCTION("IMPORTRANGE(""https://docs.google.com/spreadsheets/d/1SX6NBoVAgQJ6U1MVXOaj8PK2l7WJ3RER9xtqwdhxkhw/edit?usp=sharing"",""สระแก้ว!J82"")"),0.0)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IFERROR(__xludf.DUMMYFUNCTION("IMPORTRANGE(""https://docs.google.com/spreadsheets/d/1SX6NBoVAgQJ6U1MVXOaj8PK2l7WJ3RER9xtqwdhxkhw/edit?usp=sharing"",""สระแก้ว!I83"")"),4.0)</f>
        <v>4</v>
      </c>
      <c r="J158" s="223">
        <f>IFERROR(__xludf.DUMMYFUNCTION("IMPORTRANGE(""https://docs.google.com/spreadsheets/d/1SX6NBoVAgQJ6U1MVXOaj8PK2l7WJ3RER9xtqwdhxkhw/edit?usp=sharing"",""สระแก้ว!J83"")"),1.0)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IFERROR(__xludf.DUMMYFUNCTION("IMPORTRANGE(""https://docs.google.com/spreadsheets/d/1SX6NBoVAgQJ6U1MVXOaj8PK2l7WJ3RER9xtqwdhxkhw/edit?usp=sharing"",""สระแก้ว!J84"")"),0.0)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IFERROR(__xludf.DUMMYFUNCTION("IMPORTRANGE(""https://docs.google.com/spreadsheets/d/1SX6NBoVAgQJ6U1MVXOaj8PK2l7WJ3RER9xtqwdhxkhw/edit?usp=sharing"",""สระแก้ว!J85"")"),0.0)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IFERROR(__xludf.DUMMYFUNCTION("IMPORTRANGE(""https://docs.google.com/spreadsheets/d/1SX6NBoVAgQJ6U1MVXOaj8PK2l7WJ3RER9xtqwdhxkhw/edit?usp=sharing"",""สระแก้ว!J86"")"),0.0)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IFERROR(__xludf.DUMMYFUNCTION("IMPORTRANGE(""https://docs.google.com/spreadsheets/d/1SX6NBoVAgQJ6U1MVXOaj8PK2l7WJ3RER9xtqwdhxkhw/edit?usp=sharing"",""สระแก้ว!J87"")"),0.0)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IFERROR(__xludf.DUMMYFUNCTION("IMPORTRANGE(""https://docs.google.com/spreadsheets/d/1SX6NBoVAgQJ6U1MVXOaj8PK2l7WJ3RER9xtqwdhxkhw/edit?usp=sharing"",""สระแก้ว!J88"")"),0.0)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IFERROR(__xludf.DUMMYFUNCTION("IMPORTRANGE(""https://docs.google.com/spreadsheets/d/1SX6NBoVAgQJ6U1MVXOaj8PK2l7WJ3RER9xtqwdhxkhw/edit?usp=sharing"",""สระแก้ว!I89"")"),3.0)</f>
        <v>3</v>
      </c>
      <c r="J164" s="317">
        <f>IFERROR(__xludf.DUMMYFUNCTION("IMPORTRANGE(""https://docs.google.com/spreadsheets/d/1SX6NBoVAgQJ6U1MVXOaj8PK2l7WJ3RER9xtqwdhxkhw/edit?usp=sharing"",""สระแก้ว!J89"")"),3.0)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IFERROR(__xludf.DUMMYFUNCTION("IMPORTRANGE(""https://docs.google.com/spreadsheets/d/1SX6NBoVAgQJ6U1MVXOaj8PK2l7WJ3RER9xtqwdhxkhw/edit?usp=sharing"",""สระแก้ว!J94"")"),0.0)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IFERROR(__xludf.DUMMYFUNCTION("IMPORTRANGE(""https://docs.google.com/spreadsheets/d/1SX6NBoVAgQJ6U1MVXOaj8PK2l7WJ3RER9xtqwdhxkhw/edit?usp=sharing"",""สระแก้ว!J95"")"),1.0)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IFERROR(__xludf.DUMMYFUNCTION("IMPORTRANGE(""https://docs.google.com/spreadsheets/d/1SX6NBoVAgQJ6U1MVXOaj8PK2l7WJ3RER9xtqwdhxkhw/edit?usp=sharing"",""สระแก้ว!J96"")"),1.0)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IFERROR(__xludf.DUMMYFUNCTION("IMPORTRANGE(""https://docs.google.com/spreadsheets/d/1SX6NBoVAgQJ6U1MVXOaj8PK2l7WJ3RER9xtqwdhxkhw/edit?usp=sharing"",""สระแก้ว!J97"")"),1.0)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IFERROR(__xludf.DUMMYFUNCTION("IMPORTRANGE(""https://docs.google.com/spreadsheets/d/1SX6NBoVAgQJ6U1MVXOaj8PK2l7WJ3RER9xtqwdhxkhw/edit?usp=sharing"",""สระแก้ว!I98"")"),3.0)</f>
        <v>3</v>
      </c>
      <c r="J173" s="223">
        <f>IFERROR(__xludf.DUMMYFUNCTION("IMPORTRANGE(""https://docs.google.com/spreadsheets/d/1SX6NBoVAgQJ6U1MVXOaj8PK2l7WJ3RER9xtqwdhxkhw/edit?usp=sharing"",""สระแก้ว!J98"")"),3.0)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 t="str">
        <f>IFERROR(__xludf.DUMMYFUNCTION("IMPORTRANGE(""https://docs.google.com/spreadsheets/d/1SX6NBoVAgQJ6U1MVXOaj8PK2l7WJ3RER9xtqwdhxkhw/edit?usp=sharing"",""สระแก้ว!J99"")"),"")</f>
        <v/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IFERROR(__xludf.DUMMYFUNCTION("IMPORTRANGE(""https://docs.google.com/spreadsheets/d/1SX6NBoVAgQJ6U1MVXOaj8PK2l7WJ3RER9xtqwdhxkhw/edit?usp=sharing"",""สระแก้ว!J100"")"),0.0)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IFERROR(__xludf.DUMMYFUNCTION("IMPORTRANGE(""https://docs.google.com/spreadsheets/d/1SX6NBoVAgQJ6U1MVXOaj8PK2l7WJ3RER9xtqwdhxkhw/edit?usp=sharing"",""สระแก้ว!I101"")"),6.0)</f>
        <v>6</v>
      </c>
      <c r="J176" s="317">
        <f>IFERROR(__xludf.DUMMYFUNCTION("IMPORTRANGE(""https://docs.google.com/spreadsheets/d/1SX6NBoVAgQJ6U1MVXOaj8PK2l7WJ3RER9xtqwdhxkhw/edit?usp=sharing"",""สระแก้ว!J101"")"),0.0)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IFERROR(__xludf.DUMMYFUNCTION("IMPORTRANGE(""https://docs.google.com/spreadsheets/d/1SX6NBoVAgQJ6U1MVXOaj8PK2l7WJ3RER9xtqwdhxkhw/edit?usp=sharing"",""สระแก้ว!J106"")"),1.0)</f>
        <v>1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IFERROR(__xludf.DUMMYFUNCTION("IMPORTRANGE(""https://docs.google.com/spreadsheets/d/1SX6NBoVAgQJ6U1MVXOaj8PK2l7WJ3RER9xtqwdhxkhw/edit?usp=sharing"",""สระแก้ว!J107"")"),0.0)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IFERROR(__xludf.DUMMYFUNCTION("IMPORTRANGE(""https://docs.google.com/spreadsheets/d/1SX6NBoVAgQJ6U1MVXOaj8PK2l7WJ3RER9xtqwdhxkhw/edit?usp=sharing"",""สระแก้ว!J108"")"),0.0)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IFERROR(__xludf.DUMMYFUNCTION("IMPORTRANGE(""https://docs.google.com/spreadsheets/d/1SX6NBoVAgQJ6U1MVXOaj8PK2l7WJ3RER9xtqwdhxkhw/edit?usp=sharing"",""สระแก้ว!J109"")"),0.0)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IFERROR(__xludf.DUMMYFUNCTION("IMPORTRANGE(""https://docs.google.com/spreadsheets/d/1SX6NBoVAgQJ6U1MVXOaj8PK2l7WJ3RER9xtqwdhxkhw/edit?usp=sharing"",""สระแก้ว!I110"")"),6.0)</f>
        <v>6</v>
      </c>
      <c r="J185" s="238">
        <f>IFERROR(__xludf.DUMMYFUNCTION("IMPORTRANGE(""https://docs.google.com/spreadsheets/d/1SX6NBoVAgQJ6U1MVXOaj8PK2l7WJ3RER9xtqwdhxkhw/edit?usp=sharing"",""สระแก้ว!J110"")"),0.0)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IFERROR(__xludf.DUMMYFUNCTION("IMPORTRANGE(""https://docs.google.com/spreadsheets/d/1SX6NBoVAgQJ6U1MVXOaj8PK2l7WJ3RER9xtqwdhxkhw/edit?usp=sharing"",""สระแก้ว!I111"")"),6.0)</f>
        <v>6</v>
      </c>
      <c r="J186" s="238">
        <f>IFERROR(__xludf.DUMMYFUNCTION("IMPORTRANGE(""https://docs.google.com/spreadsheets/d/1SX6NBoVAgQJ6U1MVXOaj8PK2l7WJ3RER9xtqwdhxkhw/edit?usp=sharing"",""สระแก้ว!J111"")"),0.0)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IFERROR(__xludf.DUMMYFUNCTION("IMPORTRANGE(""https://docs.google.com/spreadsheets/d/1SX6NBoVAgQJ6U1MVXOaj8PK2l7WJ3RER9xtqwdhxkhw/edit?usp=sharing"",""สระแก้ว!J112"")"),0.0)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IFERROR(__xludf.DUMMYFUNCTION("IMPORTRANGE(""https://docs.google.com/spreadsheets/d/1SX6NBoVAgQJ6U1MVXOaj8PK2l7WJ3RER9xtqwdhxkhw/edit?usp=sharing"",""สระแก้ว!J113"")"),0.0)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IFERROR(__xludf.DUMMYFUNCTION("IMPORTRANGE(""https://docs.google.com/spreadsheets/d/1SX6NBoVAgQJ6U1MVXOaj8PK2l7WJ3RER9xtqwdhxkhw/edit?usp=sharing"",""สระแก้ว!I114"")"),40000.0)</f>
        <v>40000</v>
      </c>
      <c r="J189" s="317">
        <f>IFERROR(__xludf.DUMMYFUNCTION("IMPORTRANGE(""https://docs.google.com/spreadsheets/d/1SX6NBoVAgQJ6U1MVXOaj8PK2l7WJ3RER9xtqwdhxkhw/edit?usp=sharing"",""สระแก้ว!J114"")"),0.0)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IFERROR(__xludf.DUMMYFUNCTION("IMPORTRANGE(""https://docs.google.com/spreadsheets/d/1SX6NBoVAgQJ6U1MVXOaj8PK2l7WJ3RER9xtqwdhxkhw/edit?usp=sharing"",""สระแก้ว!J119"")"),0.0)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IFERROR(__xludf.DUMMYFUNCTION("IMPORTRANGE(""https://docs.google.com/spreadsheets/d/1SX6NBoVAgQJ6U1MVXOaj8PK2l7WJ3RER9xtqwdhxkhw/edit?usp=sharing"",""สระแก้ว!J120"")"),0.0)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IFERROR(__xludf.DUMMYFUNCTION("IMPORTRANGE(""https://docs.google.com/spreadsheets/d/1SX6NBoVAgQJ6U1MVXOaj8PK2l7WJ3RER9xtqwdhxkhw/edit?usp=sharing"",""สระแก้ว!J121"")"),0.0)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IFERROR(__xludf.DUMMYFUNCTION("IMPORTRANGE(""https://docs.google.com/spreadsheets/d/1SX6NBoVAgQJ6U1MVXOaj8PK2l7WJ3RER9xtqwdhxkhw/edit?usp=sharing"",""สระแก้ว!J122"")"),0.0)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IFERROR(__xludf.DUMMYFUNCTION("IMPORTRANGE(""https://docs.google.com/spreadsheets/d/1SX6NBoVAgQJ6U1MVXOaj8PK2l7WJ3RER9xtqwdhxkhw/edit?usp=sharing"",""สระแก้ว!I124"")"),40000.0)</f>
        <v>40000</v>
      </c>
      <c r="J199" s="223">
        <f>IFERROR(__xludf.DUMMYFUNCTION("IMPORTRANGE(""https://docs.google.com/spreadsheets/d/1SX6NBoVAgQJ6U1MVXOaj8PK2l7WJ3RER9xtqwdhxkhw/edit?usp=sharing"",""สระแก้ว!J124"")"),0.0)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IFERROR(__xludf.DUMMYFUNCTION("IMPORTRANGE(""https://docs.google.com/spreadsheets/d/1SX6NBoVAgQJ6U1MVXOaj8PK2l7WJ3RER9xtqwdhxkhw/edit?usp=sharing"",""สระแก้ว!I125"")"),40000.0)</f>
        <v>40000</v>
      </c>
      <c r="J200" s="223">
        <f>IFERROR(__xludf.DUMMYFUNCTION("IMPORTRANGE(""https://docs.google.com/spreadsheets/d/1SX6NBoVAgQJ6U1MVXOaj8PK2l7WJ3RER9xtqwdhxkhw/edit?usp=sharing"",""สระแก้ว!J125"")"),0.0)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IFERROR(__xludf.DUMMYFUNCTION("IMPORTRANGE(""https://docs.google.com/spreadsheets/d/1SX6NBoVAgQJ6U1MVXOaj8PK2l7WJ3RER9xtqwdhxkhw/edit?usp=sharing"",""สระแก้ว!I126"")"),0.0)</f>
        <v>0</v>
      </c>
      <c r="J201" s="223">
        <f>IFERROR(__xludf.DUMMYFUNCTION("IMPORTRANGE(""https://docs.google.com/spreadsheets/d/1SX6NBoVAgQJ6U1MVXOaj8PK2l7WJ3RER9xtqwdhxkhw/edit?usp=sharing"",""สระแก้ว!J126"")"),0.0)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IFERROR(__xludf.DUMMYFUNCTION("IMPORTRANGE(""https://docs.google.com/spreadsheets/d/1SX6NBoVAgQJ6U1MVXOaj8PK2l7WJ3RER9xtqwdhxkhw/edit?usp=sharing"",""สระแก้ว!J127"")"),0.0)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IFERROR(__xludf.DUMMYFUNCTION("IMPORTRANGE(""https://docs.google.com/spreadsheets/d/1SX6NBoVAgQJ6U1MVXOaj8PK2l7WJ3RER9xtqwdhxkhw/edit?usp=sharing"",""สระแก้ว!J128"")"),0.0)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IFERROR(__xludf.DUMMYFUNCTION("IMPORTRANGE(""https://docs.google.com/spreadsheets/d/1SX6NBoVAgQJ6U1MVXOaj8PK2l7WJ3RER9xtqwdhxkhw/edit?usp=sharing"",""สระแก้ว!I129"")"),60.0)</f>
        <v>60</v>
      </c>
      <c r="J204" s="317">
        <f>IFERROR(__xludf.DUMMYFUNCTION("IMPORTRANGE(""https://docs.google.com/spreadsheets/d/1SX6NBoVAgQJ6U1MVXOaj8PK2l7WJ3RER9xtqwdhxkhw/edit?usp=sharing"",""สระแก้ว!J129"")"),0.0)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IFERROR(__xludf.DUMMYFUNCTION("IMPORTRANGE(""https://docs.google.com/spreadsheets/d/1SX6NBoVAgQJ6U1MVXOaj8PK2l7WJ3RER9xtqwdhxkhw/edit?usp=sharing"",""สระแก้ว!J134"")"),1.0)</f>
        <v>1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IFERROR(__xludf.DUMMYFUNCTION("IMPORTRANGE(""https://docs.google.com/spreadsheets/d/1SX6NBoVAgQJ6U1MVXOaj8PK2l7WJ3RER9xtqwdhxkhw/edit?usp=sharing"",""สระแก้ว!J135"")"),0.0)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IFERROR(__xludf.DUMMYFUNCTION("IMPORTRANGE(""https://docs.google.com/spreadsheets/d/1SX6NBoVAgQJ6U1MVXOaj8PK2l7WJ3RER9xtqwdhxkhw/edit?usp=sharing"",""สระแก้ว!J136"")"),0.0)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IFERROR(__xludf.DUMMYFUNCTION("IMPORTRANGE(""https://docs.google.com/spreadsheets/d/1SX6NBoVAgQJ6U1MVXOaj8PK2l7WJ3RER9xtqwdhxkhw/edit?usp=sharing"",""สระแก้ว!J137"")"),0.0)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IFERROR(__xludf.DUMMYFUNCTION("IMPORTRANGE(""https://docs.google.com/spreadsheets/d/1SX6NBoVAgQJ6U1MVXOaj8PK2l7WJ3RER9xtqwdhxkhw/edit?usp=sharing"",""สระแก้ว!I138"")"),60.0)</f>
        <v>60</v>
      </c>
      <c r="J213" s="238">
        <f>IFERROR(__xludf.DUMMYFUNCTION("IMPORTRANGE(""https://docs.google.com/spreadsheets/d/1SX6NBoVAgQJ6U1MVXOaj8PK2l7WJ3RER9xtqwdhxkhw/edit?usp=sharing"",""สระแก้ว!J138"")"),0.0)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IFERROR(__xludf.DUMMYFUNCTION("IMPORTRANGE(""https://docs.google.com/spreadsheets/d/1SX6NBoVAgQJ6U1MVXOaj8PK2l7WJ3RER9xtqwdhxkhw/edit?usp=sharing"",""สระแก้ว!I140"")"),20.0)</f>
        <v>20</v>
      </c>
      <c r="J215" s="238">
        <f>IFERROR(__xludf.DUMMYFUNCTION("IMPORTRANGE(""https://docs.google.com/spreadsheets/d/1SX6NBoVAgQJ6U1MVXOaj8PK2l7WJ3RER9xtqwdhxkhw/edit?usp=sharing"",""สระแก้ว!J140"")"),0.0)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IFERROR(__xludf.DUMMYFUNCTION("IMPORTRANGE(""https://docs.google.com/spreadsheets/d/1SX6NBoVAgQJ6U1MVXOaj8PK2l7WJ3RER9xtqwdhxkhw/edit?usp=sharing"",""สระแก้ว!I141"")"),3.0)</f>
        <v>3</v>
      </c>
      <c r="J216" s="238">
        <f>IFERROR(__xludf.DUMMYFUNCTION("IMPORTRANGE(""https://docs.google.com/spreadsheets/d/1SX6NBoVAgQJ6U1MVXOaj8PK2l7WJ3RER9xtqwdhxkhw/edit?usp=sharing"",""สระแก้ว!J141"")"),0.0)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IFERROR(__xludf.DUMMYFUNCTION("IMPORTRANGE(""https://docs.google.com/spreadsheets/d/1SX6NBoVAgQJ6U1MVXOaj8PK2l7WJ3RER9xtqwdhxkhw/edit?usp=sharing"",""สระแก้ว!J142"")"),0.0)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IFERROR(__xludf.DUMMYFUNCTION("IMPORTRANGE(""https://docs.google.com/spreadsheets/d/1SX6NBoVAgQJ6U1MVXOaj8PK2l7WJ3RER9xtqwdhxkhw/edit?usp=sharing"",""สระแก้ว!J143"")"),0.0)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IFERROR(__xludf.DUMMYFUNCTION("IMPORTRANGE(""https://docs.google.com/spreadsheets/d/1SX6NBoVAgQJ6U1MVXOaj8PK2l7WJ3RER9xtqwdhxkhw/edit?usp=sharing"",""สระแก้ว!I144"")"),13.0)</f>
        <v>13</v>
      </c>
      <c r="J219" s="301">
        <f>IFERROR(__xludf.DUMMYFUNCTION("IMPORTRANGE(""https://docs.google.com/spreadsheets/d/1SX6NBoVAgQJ6U1MVXOaj8PK2l7WJ3RER9xtqwdhxkhw/edit?usp=sharing"",""สระแก้ว!J144"")"),13.0)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18915</v>
      </c>
      <c r="O220" s="182">
        <f t="shared" ref="O220:O222" si="75">IF(L220&gt;0,N220*100/L220,0)</f>
        <v>98.03057787</v>
      </c>
      <c r="P220" s="182">
        <f t="shared" ref="P220:P222" si="76">IF(M220&gt;0,N220*100/M220,0)</f>
        <v>98.03057787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18915</v>
      </c>
      <c r="O222" s="187">
        <f t="shared" si="75"/>
        <v>98.03057787</v>
      </c>
      <c r="P222" s="187">
        <f t="shared" si="76"/>
        <v>98.03057787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IFERROR(__xludf.DUMMYFUNCTION("IMPORTRANGE(""https://docs.google.com/spreadsheets/d/1Yj_ptqi66GCucihVvJfMjLAmec39IyEx_6qawtMGysU/edit?usp=sharing"",""สบก!BS75"")"),19295.0)</f>
        <v>19295</v>
      </c>
      <c r="N224" s="202">
        <f>IFERROR(__xludf.DUMMYFUNCTION("IMPORTRANGE(""https://docs.google.com/spreadsheets/d/1Yj_ptqi66GCucihVvJfMjLAmec39IyEx_6qawtMGysU/edit?usp=sharing"",""สบก!BT75"")"),18915.0)</f>
        <v>18915</v>
      </c>
      <c r="O224" s="203">
        <f>IF(L224&gt;0,N224*100/L224,0)</f>
        <v>98.03057787</v>
      </c>
      <c r="P224" s="203">
        <f>IF(M224&gt;0,N224*100/M224,0)</f>
        <v>98.03057787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IFERROR(__xludf.DUMMYFUNCTION("IMPORTRANGE(""https://docs.google.com/spreadsheets/d/1Yj_ptqi66GCucihVvJfMjLAmec39IyEx_6qawtMGysU/edit?usp=sharing"",""สบก!BO75"")"),0.0)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IFERROR(__xludf.DUMMYFUNCTION("IMPORTRANGE(""https://docs.google.com/spreadsheets/d/1Yj_ptqi66GCucihVvJfMjLAmec39IyEx_6qawtMGysU/edit?usp=sharing"",""สบก!BP75"")"),19295.0)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IFERROR(__xludf.DUMMYFUNCTION("IMPORTRANGE(""https://docs.google.com/spreadsheets/d/1Yj_ptqi66GCucihVvJfMjLAmec39IyEx_6qawtMGysU/edit?usp=sharing"",""สบก!BQ75"")"),0.0)</f>
        <v>0</v>
      </c>
      <c r="M228" s="125"/>
      <c r="N228" s="115">
        <f>IFERROR(__xludf.DUMMYFUNCTION("IMPORTRANGE(""https://docs.google.com/spreadsheets/d/1Yj_ptqi66GCucihVvJfMjLAmec39IyEx_6qawtMGysU/edit?usp=sharing"",""สบก!BU75"")"),0.0)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IFERROR(__xludf.DUMMYFUNCTION("IMPORTRANGE(""https://docs.google.com/spreadsheets/d/1SX6NBoVAgQJ6U1MVXOaj8PK2l7WJ3RER9xtqwdhxkhw/edit?usp=sharing"",""สระแก้ว!I149"")"),13.0)</f>
        <v>13</v>
      </c>
      <c r="J229" s="301">
        <f>IFERROR(__xludf.DUMMYFUNCTION("IMPORTRANGE(""https://docs.google.com/spreadsheets/d/1SX6NBoVAgQJ6U1MVXOaj8PK2l7WJ3RER9xtqwdhxkhw/edit?usp=sharing"",""สระแก้ว!J149"")"),13.0)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IFERROR(__xludf.DUMMYFUNCTION("IMPORTRANGE(""https://docs.google.com/spreadsheets/d/1SX6NBoVAgQJ6U1MVXOaj8PK2l7WJ3RER9xtqwdhxkhw/edit?usp=sharing"",""สระแก้ว!J151"")"),0.0)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IFERROR(__xludf.DUMMYFUNCTION("IMPORTRANGE(""https://docs.google.com/spreadsheets/d/1SX6NBoVAgQJ6U1MVXOaj8PK2l7WJ3RER9xtqwdhxkhw/edit?usp=sharing"",""สระแก้ว!J152"")"),1.0)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IFERROR(__xludf.DUMMYFUNCTION("IMPORTRANGE(""https://docs.google.com/spreadsheets/d/1SX6NBoVAgQJ6U1MVXOaj8PK2l7WJ3RER9xtqwdhxkhw/edit?usp=sharing"",""สระแก้ว!J153"")"),1.0)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IFERROR(__xludf.DUMMYFUNCTION("IMPORTRANGE(""https://docs.google.com/spreadsheets/d/1SX6NBoVAgQJ6U1MVXOaj8PK2l7WJ3RER9xtqwdhxkhw/edit?usp=sharing"",""สระแก้ว!J154"")"),0.0)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IFERROR(__xludf.DUMMYFUNCTION("IMPORTRANGE(""https://docs.google.com/spreadsheets/d/1SX6NBoVAgQJ6U1MVXOaj8PK2l7WJ3RER9xtqwdhxkhw/edit?usp=sharing"",""สระแก้ว!I155"")"),13.0)</f>
        <v>13</v>
      </c>
      <c r="J235" s="223">
        <f>IFERROR(__xludf.DUMMYFUNCTION("IMPORTRANGE(""https://docs.google.com/spreadsheets/d/1SX6NBoVAgQJ6U1MVXOaj8PK2l7WJ3RER9xtqwdhxkhw/edit?usp=sharing"",""สระแก้ว!J155"")"),13.0)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IFERROR(__xludf.DUMMYFUNCTION("IMPORTRANGE(""https://docs.google.com/spreadsheets/d/1SX6NBoVAgQJ6U1MVXOaj8PK2l7WJ3RER9xtqwdhxkhw/edit?usp=sharing"",""สระแก้ว!J156"")"),0.0)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IFERROR(__xludf.DUMMYFUNCTION("IMPORTRANGE(""https://docs.google.com/spreadsheets/d/1SX6NBoVAgQJ6U1MVXOaj8PK2l7WJ3RER9xtqwdhxkhw/edit?usp=sharing"",""สระแก้ว!J157"")"),0.0)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IFERROR(__xludf.DUMMYFUNCTION("IMPORTRANGE(""https://docs.google.com/spreadsheets/d/1SX6NBoVAgQJ6U1MVXOaj8PK2l7WJ3RER9xtqwdhxkhw/edit?usp=sharing"",""สระแก้ว!I158"")"),0.0)</f>
        <v>0</v>
      </c>
      <c r="J238" s="301">
        <f>IFERROR(__xludf.DUMMYFUNCTION("IMPORTRANGE(""https://docs.google.com/spreadsheets/d/1SX6NBoVAgQJ6U1MVXOaj8PK2l7WJ3RER9xtqwdhxkhw/edit?usp=sharing"",""สระแก้ว!J158"")"),0.0)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IFERROR(__xludf.DUMMYFUNCTION("IMPORTRANGE(""https://docs.google.com/spreadsheets/d/1SX6NBoVAgQJ6U1MVXOaj8PK2l7WJ3RER9xtqwdhxkhw/edit?usp=sharing"",""สระแก้ว!J159"")"),"")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IFERROR(__xludf.DUMMYFUNCTION("IMPORTRANGE(""https://docs.google.com/spreadsheets/d/1SX6NBoVAgQJ6U1MVXOaj8PK2l7WJ3RER9xtqwdhxkhw/edit?usp=sharing"",""สระแก้ว!J161"")"),0.0)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IFERROR(__xludf.DUMMYFUNCTION("IMPORTRANGE(""https://docs.google.com/spreadsheets/d/1SX6NBoVAgQJ6U1MVXOaj8PK2l7WJ3RER9xtqwdhxkhw/edit?usp=sharing"",""สระแก้ว!J162"")"),0.0)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IFERROR(__xludf.DUMMYFUNCTION("IMPORTRANGE(""https://docs.google.com/spreadsheets/d/1SX6NBoVAgQJ6U1MVXOaj8PK2l7WJ3RER9xtqwdhxkhw/edit?usp=sharing"",""สระแก้ว!J163"")"),0.0)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IFERROR(__xludf.DUMMYFUNCTION("IMPORTRANGE(""https://docs.google.com/spreadsheets/d/1SX6NBoVAgQJ6U1MVXOaj8PK2l7WJ3RER9xtqwdhxkhw/edit?usp=sharing"",""สระแก้ว!I164"")"),0.0)</f>
        <v>0</v>
      </c>
      <c r="J244" s="222">
        <f>IFERROR(__xludf.DUMMYFUNCTION("IMPORTRANGE(""https://docs.google.com/spreadsheets/d/1SX6NBoVAgQJ6U1MVXOaj8PK2l7WJ3RER9xtqwdhxkhw/edit?usp=sharing"",""สระแก้ว!J164"")"),0.0)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IFERROR(__xludf.DUMMYFUNCTION("IMPORTRANGE(""https://docs.google.com/spreadsheets/d/1SX6NBoVAgQJ6U1MVXOaj8PK2l7WJ3RER9xtqwdhxkhw/edit?usp=sharing"",""สระแก้ว!J165"")"),0.0)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IFERROR(__xludf.DUMMYFUNCTION("IMPORTRANGE(""https://docs.google.com/spreadsheets/d/1SX6NBoVAgQJ6U1MVXOaj8PK2l7WJ3RER9xtqwdhxkhw/edit?usp=sharing"",""สระแก้ว!J166"")"),0.0)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IFERROR(__xludf.DUMMYFUNCTION("IMPORTRANGE(""https://docs.google.com/spreadsheets/d/1SX6NBoVAgQJ6U1MVXOaj8PK2l7WJ3RER9xtqwdhxkhw/edit?usp=sharing"",""สระแก้ว!I169"")"),0.0)</f>
        <v>0</v>
      </c>
      <c r="J249" s="349">
        <f>IFERROR(__xludf.DUMMYFUNCTION("IMPORTRANGE(""https://docs.google.com/spreadsheets/d/1SX6NBoVAgQJ6U1MVXOaj8PK2l7WJ3RER9xtqwdhxkhw/edit?usp=sharing"",""สระแก้ว!J169"")"),0.0)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IFERROR(__xludf.DUMMYFUNCTION("IMPORTRANGE(""https://docs.google.com/spreadsheets/d/1Yj_ptqi66GCucihVvJfMjLAmec39IyEx_6qawtMGysU/edit?usp=sharing"",""สบก!CB75"")"),0.0)</f>
        <v>0</v>
      </c>
      <c r="N254" s="202">
        <f>IFERROR(__xludf.DUMMYFUNCTION("IMPORTRANGE(""https://docs.google.com/spreadsheets/d/1Yj_ptqi66GCucihVvJfMjLAmec39IyEx_6qawtMGysU/edit?usp=sharing"",""สบก!CC75"")"),0.0)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IFERROR(__xludf.DUMMYFUNCTION("IMPORTRANGE(""https://docs.google.com/spreadsheets/d/1Yj_ptqi66GCucihVvJfMjLAmec39IyEx_6qawtMGysU/edit?usp=sharing"",""สบก!BX75"")"),0.0)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IFERROR(__xludf.DUMMYFUNCTION("IMPORTRANGE(""https://docs.google.com/spreadsheets/d/1Yj_ptqi66GCucihVvJfMjLAmec39IyEx_6qawtMGysU/edit?usp=sharing"",""สบก!BY75"")"),0.0)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IFERROR(__xludf.DUMMYFUNCTION("IMPORTRANGE(""https://docs.google.com/spreadsheets/d/1Yj_ptqi66GCucihVvJfMjLAmec39IyEx_6qawtMGysU/edit?usp=sharing"",""สบก!BZ75"")"),0.0)</f>
        <v>0</v>
      </c>
      <c r="M258" s="125"/>
      <c r="N258" s="115">
        <f>IFERROR(__xludf.DUMMYFUNCTION("IMPORTRANGE(""https://docs.google.com/spreadsheets/d/1Yj_ptqi66GCucihVvJfMjLAmec39IyEx_6qawtMGysU/edit?usp=sharing"",""สบก!CD75"")"),0.0)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IFERROR(__xludf.DUMMYFUNCTION("IMPORTRANGE(""https://docs.google.com/spreadsheets/d/1SX6NBoVAgQJ6U1MVXOaj8PK2l7WJ3RER9xtqwdhxkhw/edit?usp=sharing"",""สระแก้ว!J175"")"),0.0)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IFERROR(__xludf.DUMMYFUNCTION("IMPORTRANGE(""https://docs.google.com/spreadsheets/d/1SX6NBoVAgQJ6U1MVXOaj8PK2l7WJ3RER9xtqwdhxkhw/edit?usp=sharing"",""สระแก้ว!J176"")"),0.0)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IFERROR(__xludf.DUMMYFUNCTION("IMPORTRANGE(""https://docs.google.com/spreadsheets/d/1SX6NBoVAgQJ6U1MVXOaj8PK2l7WJ3RER9xtqwdhxkhw/edit?usp=sharing"",""สระแก้ว!J177"")"),0.0)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IFERROR(__xludf.DUMMYFUNCTION("IMPORTRANGE(""https://docs.google.com/spreadsheets/d/1SX6NBoVAgQJ6U1MVXOaj8PK2l7WJ3RER9xtqwdhxkhw/edit?usp=sharing"",""สระแก้ว!J178"")"),0.0)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IFERROR(__xludf.DUMMYFUNCTION("IMPORTRANGE(""https://docs.google.com/spreadsheets/d/1SX6NBoVAgQJ6U1MVXOaj8PK2l7WJ3RER9xtqwdhxkhw/edit?usp=sharing"",""สระแก้ว!I179"")"),0.0)</f>
        <v>0</v>
      </c>
      <c r="J264" s="223">
        <f>IFERROR(__xludf.DUMMYFUNCTION("IMPORTRANGE(""https://docs.google.com/spreadsheets/d/1SX6NBoVAgQJ6U1MVXOaj8PK2l7WJ3RER9xtqwdhxkhw/edit?usp=sharing"",""สระแก้ว!J179"")"),0.0)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IFERROR(__xludf.DUMMYFUNCTION("IMPORTRANGE(""https://docs.google.com/spreadsheets/d/1SX6NBoVAgQJ6U1MVXOaj8PK2l7WJ3RER9xtqwdhxkhw/edit?usp=sharing"",""สระแก้ว!I180"")"),0.0)</f>
        <v>0</v>
      </c>
      <c r="J265" s="223">
        <f>IFERROR(__xludf.DUMMYFUNCTION("IMPORTRANGE(""https://docs.google.com/spreadsheets/d/1SX6NBoVAgQJ6U1MVXOaj8PK2l7WJ3RER9xtqwdhxkhw/edit?usp=sharing"",""สระแก้ว!J180"")"),0.0)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IFERROR(__xludf.DUMMYFUNCTION("IMPORTRANGE(""https://docs.google.com/spreadsheets/d/1SX6NBoVAgQJ6U1MVXOaj8PK2l7WJ3RER9xtqwdhxkhw/edit?usp=sharing"",""สระแก้ว!I181"")"),0.0)</f>
        <v>0</v>
      </c>
      <c r="J266" s="223">
        <f>IFERROR(__xludf.DUMMYFUNCTION("IMPORTRANGE(""https://docs.google.com/spreadsheets/d/1SX6NBoVAgQJ6U1MVXOaj8PK2l7WJ3RER9xtqwdhxkhw/edit?usp=sharing"",""สระแก้ว!J181"")"),0.0)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IFERROR(__xludf.DUMMYFUNCTION("IMPORTRANGE(""https://docs.google.com/spreadsheets/d/1SX6NBoVAgQJ6U1MVXOaj8PK2l7WJ3RER9xtqwdhxkhw/edit?usp=sharing"",""สระแก้ว!I182"")"),0.0)</f>
        <v>0</v>
      </c>
      <c r="J267" s="223">
        <f>IFERROR(__xludf.DUMMYFUNCTION("IMPORTRANGE(""https://docs.google.com/spreadsheets/d/1SX6NBoVAgQJ6U1MVXOaj8PK2l7WJ3RER9xtqwdhxkhw/edit?usp=sharing"",""สระแก้ว!J182"")"),0.0)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IFERROR(__xludf.DUMMYFUNCTION("IMPORTRANGE(""https://docs.google.com/spreadsheets/d/1SX6NBoVAgQJ6U1MVXOaj8PK2l7WJ3RER9xtqwdhxkhw/edit?usp=sharing"",""สระแก้ว!J183"")"),0.0)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IFERROR(__xludf.DUMMYFUNCTION("IMPORTRANGE(""https://docs.google.com/spreadsheets/d/1SX6NBoVAgQJ6U1MVXOaj8PK2l7WJ3RER9xtqwdhxkhw/edit?usp=sharing"",""สระแก้ว!J184"")"),0.0)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IFERROR(__xludf.DUMMYFUNCTION("IMPORTRANGE(""https://docs.google.com/spreadsheets/d/1SX6NBoVAgQJ6U1MVXOaj8PK2l7WJ3RER9xtqwdhxkhw/edit?usp=sharing"",""สระแก้ว!I185"")"),15.0)</f>
        <v>15</v>
      </c>
      <c r="J270" s="349">
        <f>IFERROR(__xludf.DUMMYFUNCTION("IMPORTRANGE(""https://docs.google.com/spreadsheets/d/1SX6NBoVAgQJ6U1MVXOaj8PK2l7WJ3RER9xtqwdhxkhw/edit?usp=sharing"",""สระแก้ว!J185"")"),0.0)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IFERROR(__xludf.DUMMYFUNCTION("IMPORTRANGE(""https://docs.google.com/spreadsheets/d/1Yj_ptqi66GCucihVvJfMjLAmec39IyEx_6qawtMGysU/edit?usp=sharing"",""สบก!CK75"")"),32250.0)</f>
        <v>32250</v>
      </c>
      <c r="N275" s="202">
        <f>IFERROR(__xludf.DUMMYFUNCTION("IMPORTRANGE(""https://docs.google.com/spreadsheets/d/1Yj_ptqi66GCucihVvJfMjLAmec39IyEx_6qawtMGysU/edit?usp=sharing"",""สบก!CL75"")"),0.0)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IFERROR(__xludf.DUMMYFUNCTION("IMPORTRANGE(""https://docs.google.com/spreadsheets/d/1Yj_ptqi66GCucihVvJfMjLAmec39IyEx_6qawtMGysU/edit?usp=sharing"",""สบก!CG75"")"),0.0)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IFERROR(__xludf.DUMMYFUNCTION("IMPORTRANGE(""https://docs.google.com/spreadsheets/d/1Yj_ptqi66GCucihVvJfMjLAmec39IyEx_6qawtMGysU/edit?usp=sharing"",""สบก!CH75"")"),55200.0)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IFERROR(__xludf.DUMMYFUNCTION("IMPORTRANGE(""https://docs.google.com/spreadsheets/d/1Yj_ptqi66GCucihVvJfMjLAmec39IyEx_6qawtMGysU/edit?usp=sharing"",""สบก!CI75"")"),0.0)</f>
        <v>0</v>
      </c>
      <c r="M279" s="125"/>
      <c r="N279" s="115">
        <f>IFERROR(__xludf.DUMMYFUNCTION("IMPORTRANGE(""https://docs.google.com/spreadsheets/d/1Yj_ptqi66GCucihVvJfMjLAmec39IyEx_6qawtMGysU/edit?usp=sharing"",""สบก!CM75"")"),0.0)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IFERROR(__xludf.DUMMYFUNCTION("IMPORTRANGE(""https://docs.google.com/spreadsheets/d/1SX6NBoVAgQJ6U1MVXOaj8PK2l7WJ3RER9xtqwdhxkhw/edit?usp=sharing"",""สระแก้ว!J191"")"),0.0)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IFERROR(__xludf.DUMMYFUNCTION("IMPORTRANGE(""https://docs.google.com/spreadsheets/d/1SX6NBoVAgQJ6U1MVXOaj8PK2l7WJ3RER9xtqwdhxkhw/edit?usp=sharing"",""สระแก้ว!J192"")"),1.0)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IFERROR(__xludf.DUMMYFUNCTION("IMPORTRANGE(""https://docs.google.com/spreadsheets/d/1SX6NBoVAgQJ6U1MVXOaj8PK2l7WJ3RER9xtqwdhxkhw/edit?usp=sharing"",""สระแก้ว!J193"")"),1.0)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IFERROR(__xludf.DUMMYFUNCTION("IMPORTRANGE(""https://docs.google.com/spreadsheets/d/1SX6NBoVAgQJ6U1MVXOaj8PK2l7WJ3RER9xtqwdhxkhw/edit?usp=sharing"",""สระแก้ว!J194"")"),1.0)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IFERROR(__xludf.DUMMYFUNCTION("IMPORTRANGE(""https://docs.google.com/spreadsheets/d/1SX6NBoVAgQJ6U1MVXOaj8PK2l7WJ3RER9xtqwdhxkhw/edit?usp=sharing"",""สระแก้ว!I195"")"),15.0)</f>
        <v>15</v>
      </c>
      <c r="J285" s="223">
        <f>IFERROR(__xludf.DUMMYFUNCTION("IMPORTRANGE(""https://docs.google.com/spreadsheets/d/1SX6NBoVAgQJ6U1MVXOaj8PK2l7WJ3RER9xtqwdhxkhw/edit?usp=sharing"",""สระแก้ว!J195"")"),0.0)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IFERROR(__xludf.DUMMYFUNCTION("IMPORTRANGE(""https://docs.google.com/spreadsheets/d/1SX6NBoVAgQJ6U1MVXOaj8PK2l7WJ3RER9xtqwdhxkhw/edit?usp=sharing"",""สระแก้ว!J196"")"),0.0)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IFERROR(__xludf.DUMMYFUNCTION("IMPORTRANGE(""https://docs.google.com/spreadsheets/d/1SX6NBoVAgQJ6U1MVXOaj8PK2l7WJ3RER9xtqwdhxkhw/edit?usp=sharing"",""สระแก้ว!J197"")"),0.0)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IFERROR(__xludf.DUMMYFUNCTION("IMPORTRANGE(""https://docs.google.com/spreadsheets/d/1SX6NBoVAgQJ6U1MVXOaj8PK2l7WJ3RER9xtqwdhxkhw/edit?usp=sharing"",""สระแก้ว!I199"")"),40.0)</f>
        <v>40</v>
      </c>
      <c r="J289" s="349">
        <f>IFERROR(__xludf.DUMMYFUNCTION("IMPORTRANGE(""https://docs.google.com/spreadsheets/d/1SX6NBoVAgQJ6U1MVXOaj8PK2l7WJ3RER9xtqwdhxkhw/edit?usp=sharing"",""สระแก้ว!J199"")"),0.0)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123640</v>
      </c>
      <c r="M290" s="183">
        <f t="shared" si="89"/>
        <v>57420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123640</v>
      </c>
      <c r="M292" s="188">
        <f t="shared" si="93"/>
        <v>57420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123640</v>
      </c>
      <c r="M294" s="201">
        <f>IFERROR(__xludf.DUMMYFUNCTION("IMPORTRANGE(""https://docs.google.com/spreadsheets/d/1Yj_ptqi66GCucihVvJfMjLAmec39IyEx_6qawtMGysU/edit?usp=sharing"",""สบก!CT75"")"),57420.0)</f>
        <v>57420</v>
      </c>
      <c r="N294" s="202">
        <f>IFERROR(__xludf.DUMMYFUNCTION("IMPORTRANGE(""https://docs.google.com/spreadsheets/d/1Yj_ptqi66GCucihVvJfMjLAmec39IyEx_6qawtMGysU/edit?usp=sharing"",""สบก!CU75"")"),0.0)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IFERROR(__xludf.DUMMYFUNCTION("IMPORTRANGE(""https://docs.google.com/spreadsheets/d/1Yj_ptqi66GCucihVvJfMjLAmec39IyEx_6qawtMGysU/edit?usp=sharing"",""สบก!CP75"")"),0.0)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IFERROR(__xludf.DUMMYFUNCTION("IMPORTRANGE(""https://docs.google.com/spreadsheets/d/1Yj_ptqi66GCucihVvJfMjLAmec39IyEx_6qawtMGysU/edit?usp=sharing"",""สบก!CQ75"")"),123640.0)</f>
        <v>123640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IFERROR(__xludf.DUMMYFUNCTION("IMPORTRANGE(""https://docs.google.com/spreadsheets/d/1Yj_ptqi66GCucihVvJfMjLAmec39IyEx_6qawtMGysU/edit?usp=sharing"",""สบก!CR75"")"),0.0)</f>
        <v>0</v>
      </c>
      <c r="M298" s="125"/>
      <c r="N298" s="115">
        <f>IFERROR(__xludf.DUMMYFUNCTION("IMPORTRANGE(""https://docs.google.com/spreadsheets/d/1Yj_ptqi66GCucihVvJfMjLAmec39IyEx_6qawtMGysU/edit?usp=sharing"",""สบก!CV75"")"),0.0)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IFERROR(__xludf.DUMMYFUNCTION("IMPORTRANGE(""https://docs.google.com/spreadsheets/d/1SX6NBoVAgQJ6U1MVXOaj8PK2l7WJ3RER9xtqwdhxkhw/edit?usp=sharing"",""สระแก้ว!J205"")"),0.0)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IFERROR(__xludf.DUMMYFUNCTION("IMPORTRANGE(""https://docs.google.com/spreadsheets/d/1SX6NBoVAgQJ6U1MVXOaj8PK2l7WJ3RER9xtqwdhxkhw/edit?usp=sharing"",""สระแก้ว!J206"")"),1.0)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IFERROR(__xludf.DUMMYFUNCTION("IMPORTRANGE(""https://docs.google.com/spreadsheets/d/1SX6NBoVAgQJ6U1MVXOaj8PK2l7WJ3RER9xtqwdhxkhw/edit?usp=sharing"",""สระแก้ว!J207"")"),1.0)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IFERROR(__xludf.DUMMYFUNCTION("IMPORTRANGE(""https://docs.google.com/spreadsheets/d/1SX6NBoVAgQJ6U1MVXOaj8PK2l7WJ3RER9xtqwdhxkhw/edit?usp=sharing"",""สระแก้ว!J208"")"),1.0)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IFERROR(__xludf.DUMMYFUNCTION("IMPORTRANGE(""https://docs.google.com/spreadsheets/d/1SX6NBoVAgQJ6U1MVXOaj8PK2l7WJ3RER9xtqwdhxkhw/edit?usp=sharing"",""สระแก้ว!I209"")"),40.0)</f>
        <v>40</v>
      </c>
      <c r="J304" s="238">
        <f>IFERROR(__xludf.DUMMYFUNCTION("IMPORTRANGE(""https://docs.google.com/spreadsheets/d/1SX6NBoVAgQJ6U1MVXOaj8PK2l7WJ3RER9xtqwdhxkhw/edit?usp=sharing"",""สระแก้ว!J209"")"),0.0)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IFERROR(__xludf.DUMMYFUNCTION("IMPORTRANGE(""https://docs.google.com/spreadsheets/d/1SX6NBoVAgQJ6U1MVXOaj8PK2l7WJ3RER9xtqwdhxkhw/edit?usp=sharing"",""สระแก้ว!I211"")"),40.0)</f>
        <v>40</v>
      </c>
      <c r="J306" s="238">
        <f>IFERROR(__xludf.DUMMYFUNCTION("IMPORTRANGE(""https://docs.google.com/spreadsheets/d/1SX6NBoVAgQJ6U1MVXOaj8PK2l7WJ3RER9xtqwdhxkhw/edit?usp=sharing"",""สระแก้ว!J211"")"),0.0)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IFERROR(__xludf.DUMMYFUNCTION("IMPORTRANGE(""https://docs.google.com/spreadsheets/d/1SX6NBoVAgQJ6U1MVXOaj8PK2l7WJ3RER9xtqwdhxkhw/edit?usp=sharing"",""สระแก้ว!J212"")"),0.0)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IFERROR(__xludf.DUMMYFUNCTION("IMPORTRANGE(""https://docs.google.com/spreadsheets/d/1SX6NBoVAgQJ6U1MVXOaj8PK2l7WJ3RER9xtqwdhxkhw/edit?usp=sharing"",""สระแก้ว!J213"")"),0.0)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IFERROR(__xludf.DUMMYFUNCTION("IMPORTRANGE(""https://docs.google.com/spreadsheets/d/1SX6NBoVAgQJ6U1MVXOaj8PK2l7WJ3RER9xtqwdhxkhw/edit?usp=sharing"",""สระแก้ว!I214"")"),10.0)</f>
        <v>10</v>
      </c>
      <c r="J309" s="366">
        <f>IFERROR(__xludf.DUMMYFUNCTION("IMPORTRANGE(""https://docs.google.com/spreadsheets/d/1SX6NBoVAgQJ6U1MVXOaj8PK2l7WJ3RER9xtqwdhxkhw/edit?usp=sharing"",""สระแก้ว!J214"")"),4.0)</f>
        <v>4</v>
      </c>
      <c r="K309" s="367">
        <f>IF(I309&gt;0,J309*100/I309,0)</f>
        <v>40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395600</v>
      </c>
      <c r="M310" s="183">
        <f t="shared" si="94"/>
        <v>197800</v>
      </c>
      <c r="N310" s="183">
        <f t="shared" si="94"/>
        <v>34400</v>
      </c>
      <c r="O310" s="182">
        <f t="shared" ref="O310:O312" si="96">IF(L310&gt;0,N310*100/L310,0)</f>
        <v>8.695652174</v>
      </c>
      <c r="P310" s="182">
        <f t="shared" ref="P310:P312" si="97">IF(M310&gt;0,N310*100/M310,0)</f>
        <v>17.39130435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395600</v>
      </c>
      <c r="M312" s="188">
        <f t="shared" si="98"/>
        <v>197800</v>
      </c>
      <c r="N312" s="188">
        <f t="shared" si="98"/>
        <v>34400</v>
      </c>
      <c r="O312" s="187">
        <f t="shared" si="96"/>
        <v>8.695652174</v>
      </c>
      <c r="P312" s="187">
        <f t="shared" si="97"/>
        <v>17.39130435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395600</v>
      </c>
      <c r="M314" s="201">
        <f>IFERROR(__xludf.DUMMYFUNCTION("IMPORTRANGE(""https://docs.google.com/spreadsheets/d/1Yj_ptqi66GCucihVvJfMjLAmec39IyEx_6qawtMGysU/edit?usp=sharing"",""สบก!DC75"")"),197800.0)</f>
        <v>197800</v>
      </c>
      <c r="N314" s="202">
        <f>IFERROR(__xludf.DUMMYFUNCTION("IMPORTRANGE(""https://docs.google.com/spreadsheets/d/1Yj_ptqi66GCucihVvJfMjLAmec39IyEx_6qawtMGysU/edit?usp=sharing"",""สบก!DD75"")"),34400.0)</f>
        <v>34400</v>
      </c>
      <c r="O314" s="203">
        <f>IF(L314&gt;0,N314*100/L314,0)</f>
        <v>8.695652174</v>
      </c>
      <c r="P314" s="203">
        <f>IF(M314&gt;0,N314*100/M314,0)</f>
        <v>17.39130435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IFERROR(__xludf.DUMMYFUNCTION("IMPORTRANGE(""https://docs.google.com/spreadsheets/d/1Yj_ptqi66GCucihVvJfMjLAmec39IyEx_6qawtMGysU/edit?usp=sharing"",""สบก!CY75"")"),0.0)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IFERROR(__xludf.DUMMYFUNCTION("IMPORTRANGE(""https://docs.google.com/spreadsheets/d/1Yj_ptqi66GCucihVvJfMjLAmec39IyEx_6qawtMGysU/edit?usp=sharing"",""สบก!CZ75"")"),395600.0)</f>
        <v>395600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IFERROR(__xludf.DUMMYFUNCTION("IMPORTRANGE(""https://docs.google.com/spreadsheets/d/1Yj_ptqi66GCucihVvJfMjLAmec39IyEx_6qawtMGysU/edit?usp=sharing"",""สบก!DA75"")"),0.0)</f>
        <v>0</v>
      </c>
      <c r="M318" s="125"/>
      <c r="N318" s="115">
        <f>IFERROR(__xludf.DUMMYFUNCTION("IMPORTRANGE(""https://docs.google.com/spreadsheets/d/1Yj_ptqi66GCucihVvJfMjLAmec39IyEx_6qawtMGysU/edit?usp=sharing"",""สบก!DE75"")"),0.0)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IFERROR(__xludf.DUMMYFUNCTION("IMPORTRANGE(""https://docs.google.com/spreadsheets/d/1SX6NBoVAgQJ6U1MVXOaj8PK2l7WJ3RER9xtqwdhxkhw/edit?usp=sharing"",""สระแก้ว!J220"")"),0.0)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IFERROR(__xludf.DUMMYFUNCTION("IMPORTRANGE(""https://docs.google.com/spreadsheets/d/1SX6NBoVAgQJ6U1MVXOaj8PK2l7WJ3RER9xtqwdhxkhw/edit?usp=sharing"",""สระแก้ว!J221"")"),1.0)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IFERROR(__xludf.DUMMYFUNCTION("IMPORTRANGE(""https://docs.google.com/spreadsheets/d/1SX6NBoVAgQJ6U1MVXOaj8PK2l7WJ3RER9xtqwdhxkhw/edit?usp=sharing"",""สระแก้ว!J222"")"),0.0)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IFERROR(__xludf.DUMMYFUNCTION("IMPORTRANGE(""https://docs.google.com/spreadsheets/d/1SX6NBoVAgQJ6U1MVXOaj8PK2l7WJ3RER9xtqwdhxkhw/edit?usp=sharing"",""สระแก้ว!J223"")"),0.0)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IFERROR(__xludf.DUMMYFUNCTION("IMPORTRANGE(""https://docs.google.com/spreadsheets/d/1SX6NBoVAgQJ6U1MVXOaj8PK2l7WJ3RER9xtqwdhxkhw/edit?usp=sharing"",""สระแก้ว!I224"")"),10.0)</f>
        <v>10</v>
      </c>
      <c r="J324" s="238">
        <f>IFERROR(__xludf.DUMMYFUNCTION("IMPORTRANGE(""https://docs.google.com/spreadsheets/d/1SX6NBoVAgQJ6U1MVXOaj8PK2l7WJ3RER9xtqwdhxkhw/edit?usp=sharing"",""สระแก้ว!J224"")"),4.0)</f>
        <v>4</v>
      </c>
      <c r="K324" s="258">
        <f>IF(I324&gt;0,J324*100/I324,0)</f>
        <v>40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IFERROR(__xludf.DUMMYFUNCTION("IMPORTRANGE(""https://docs.google.com/spreadsheets/d/1SX6NBoVAgQJ6U1MVXOaj8PK2l7WJ3RER9xtqwdhxkhw/edit?usp=sharing"",""สระแก้ว!J225"")"),0.0)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IFERROR(__xludf.DUMMYFUNCTION("IMPORTRANGE(""https://docs.google.com/spreadsheets/d/1SX6NBoVAgQJ6U1MVXOaj8PK2l7WJ3RER9xtqwdhxkhw/edit?usp=sharing"",""สระแก้ว!J226"")"),0.0)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IFERROR(__xludf.DUMMYFUNCTION("IMPORTRANGE(""https://docs.google.com/spreadsheets/d/1SX6NBoVAgQJ6U1MVXOaj8PK2l7WJ3RER9xtqwdhxkhw/edit?usp=sharing"",""สระแก้ว!I228"")"),780.0)</f>
        <v>780</v>
      </c>
      <c r="J328" s="372">
        <f>IFERROR(__xludf.DUMMYFUNCTION("IMPORTRANGE(""https://docs.google.com/spreadsheets/d/1SX6NBoVAgQJ6U1MVXOaj8PK2l7WJ3RER9xtqwdhxkhw/edit?usp=sharing"",""สระแก้ว!J228"")"),0.0)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1497040</v>
      </c>
      <c r="M329" s="183">
        <f t="shared" si="99"/>
        <v>812700</v>
      </c>
      <c r="N329" s="183">
        <f t="shared" si="99"/>
        <v>581543</v>
      </c>
      <c r="O329" s="182">
        <f t="shared" ref="O329:O331" si="101">IF(L329&gt;0,N329*100/L329,0)</f>
        <v>38.84618981</v>
      </c>
      <c r="P329" s="182">
        <f t="shared" ref="P329:P331" si="102">IF(M329&gt;0,N329*100/M329,0)</f>
        <v>71.55690907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1497040</v>
      </c>
      <c r="M331" s="188">
        <f t="shared" si="103"/>
        <v>812700</v>
      </c>
      <c r="N331" s="188">
        <f t="shared" si="103"/>
        <v>581543</v>
      </c>
      <c r="O331" s="187">
        <f t="shared" si="101"/>
        <v>38.84618981</v>
      </c>
      <c r="P331" s="187">
        <f t="shared" si="102"/>
        <v>71.55690907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1350040</v>
      </c>
      <c r="M333" s="201">
        <f>IFERROR(__xludf.DUMMYFUNCTION("IMPORTRANGE(""https://docs.google.com/spreadsheets/d/1Yj_ptqi66GCucihVvJfMjLAmec39IyEx_6qawtMGysU/edit?usp=sharing"",""สบก!DL75"")"),812700.0)</f>
        <v>812700</v>
      </c>
      <c r="N333" s="202">
        <f>IFERROR(__xludf.DUMMYFUNCTION("IMPORTRANGE(""https://docs.google.com/spreadsheets/d/1Yj_ptqi66GCucihVvJfMjLAmec39IyEx_6qawtMGysU/edit?usp=sharing"",""สบก!DM75"")"),434543.0)</f>
        <v>434543</v>
      </c>
      <c r="O333" s="203">
        <f>IF(L333&gt;0,N333*100/L333,0)</f>
        <v>32.18741667</v>
      </c>
      <c r="P333" s="203">
        <f>IF(M333&gt;0,N333*100/M333,0)</f>
        <v>53.46905377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IFERROR(__xludf.DUMMYFUNCTION("IMPORTRANGE(""https://docs.google.com/spreadsheets/d/1Yj_ptqi66GCucihVvJfMjLAmec39IyEx_6qawtMGysU/edit?usp=sharing"",""สบก!DH75"")"),306000.0)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IFERROR(__xludf.DUMMYFUNCTION("IMPORTRANGE(""https://docs.google.com/spreadsheets/d/1Yj_ptqi66GCucihVvJfMjLAmec39IyEx_6qawtMGysU/edit?usp=sharing"",""สบก!DI75"")"),1044040.0)</f>
        <v>1044040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IFERROR(__xludf.DUMMYFUNCTION("IMPORTRANGE(""https://docs.google.com/spreadsheets/d/1Yj_ptqi66GCucihVvJfMjLAmec39IyEx_6qawtMGysU/edit?usp=sharing"",""สบก!DJ75"")"),147000.0)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IFERROR(__xludf.DUMMYFUNCTION("IMPORTRANGE(""https://docs.google.com/spreadsheets/d/1Yj_ptqi66GCucihVvJfMjLAmec39IyEx_6qawtMGysU/edit?usp=sharing"",""สบก!DN75"")"),147000.0)</f>
        <v>147000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IFERROR(__xludf.DUMMYFUNCTION("IMPORTRANGE(""https://docs.google.com/spreadsheets/d/1SX6NBoVAgQJ6U1MVXOaj8PK2l7WJ3RER9xtqwdhxkhw/edit?usp=sharing"",""สระแก้ว!I234"")"),0.0)</f>
        <v>0</v>
      </c>
      <c r="J339" s="222">
        <f>IFERROR(__xludf.DUMMYFUNCTION("IMPORTRANGE(""https://docs.google.com/spreadsheets/d/1SX6NBoVAgQJ6U1MVXOaj8PK2l7WJ3RER9xtqwdhxkhw/edit?usp=sharing"",""สระแก้ว!J234"")"),278.0)</f>
        <v>278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IFERROR(__xludf.DUMMYFUNCTION("IMPORTRANGE(""https://docs.google.com/spreadsheets/d/1SX6NBoVAgQJ6U1MVXOaj8PK2l7WJ3RER9xtqwdhxkhw/edit?usp=sharing"",""สระแก้ว!I235"")"),8720.0)</f>
        <v>8720</v>
      </c>
      <c r="J340" s="222">
        <f>IFERROR(__xludf.DUMMYFUNCTION("IMPORTRANGE(""https://docs.google.com/spreadsheets/d/1SX6NBoVAgQJ6U1MVXOaj8PK2l7WJ3RER9xtqwdhxkhw/edit?usp=sharing"",""สระแก้ว!J235"")"),3399.11)</f>
        <v>3399.11</v>
      </c>
      <c r="K340" s="375">
        <f t="shared" si="104"/>
        <v>38.98061927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IFERROR(__xludf.DUMMYFUNCTION("IMPORTRANGE(""https://docs.google.com/spreadsheets/d/1SX6NBoVAgQJ6U1MVXOaj8PK2l7WJ3RER9xtqwdhxkhw/edit?usp=sharing"",""สระแก้ว!I236"")"),780.0)</f>
        <v>780</v>
      </c>
      <c r="J341" s="222">
        <f>IFERROR(__xludf.DUMMYFUNCTION("IMPORTRANGE(""https://docs.google.com/spreadsheets/d/1SX6NBoVAgQJ6U1MVXOaj8PK2l7WJ3RER9xtqwdhxkhw/edit?usp=sharing"",""สระแก้ว!J236"")"),227.0)</f>
        <v>227</v>
      </c>
      <c r="K341" s="375">
        <f t="shared" si="104"/>
        <v>29.1025641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IFERROR(__xludf.DUMMYFUNCTION("IMPORTRANGE(""https://docs.google.com/spreadsheets/d/1SX6NBoVAgQJ6U1MVXOaj8PK2l7WJ3RER9xtqwdhxkhw/edit?usp=sharing"",""สระแก้ว!I237"")"),0.0)</f>
        <v>0</v>
      </c>
      <c r="J342" s="222">
        <f>IFERROR(__xludf.DUMMYFUNCTION("IMPORTRANGE(""https://docs.google.com/spreadsheets/d/1SX6NBoVAgQJ6U1MVXOaj8PK2l7WJ3RER9xtqwdhxkhw/edit?usp=sharing"",""สระแก้ว!J237"")"),2485.1600000000003)</f>
        <v>2485.16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IFERROR(__xludf.DUMMYFUNCTION("IMPORTRANGE(""https://docs.google.com/spreadsheets/d/1SX6NBoVAgQJ6U1MVXOaj8PK2l7WJ3RER9xtqwdhxkhw/edit?usp=sharing"",""สระแก้ว!I238"")"),780.0)</f>
        <v>780</v>
      </c>
      <c r="J343" s="222">
        <f>IFERROR(__xludf.DUMMYFUNCTION("IMPORTRANGE(""https://docs.google.com/spreadsheets/d/1SX6NBoVAgQJ6U1MVXOaj8PK2l7WJ3RER9xtqwdhxkhw/edit?usp=sharing"",""สระแก้ว!J238"")"),0.0)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IFERROR(__xludf.DUMMYFUNCTION("IMPORTRANGE(""https://docs.google.com/spreadsheets/d/1SX6NBoVAgQJ6U1MVXOaj8PK2l7WJ3RER9xtqwdhxkhw/edit?usp=sharing"",""สระแก้ว!I239"")"),0.0)</f>
        <v>0</v>
      </c>
      <c r="J344" s="222">
        <f>IFERROR(__xludf.DUMMYFUNCTION("IMPORTRANGE(""https://docs.google.com/spreadsheets/d/1SX6NBoVAgQJ6U1MVXOaj8PK2l7WJ3RER9xtqwdhxkhw/edit?usp=sharing"",""สระแก้ว!J239"")"),0.0)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IFERROR(__xludf.DUMMYFUNCTION("IMPORTRANGE(""https://docs.google.com/spreadsheets/d/1SX6NBoVAgQJ6U1MVXOaj8PK2l7WJ3RER9xtqwdhxkhw/edit?usp=sharing"",""สระแก้ว!I240"")"),780.0)</f>
        <v>780</v>
      </c>
      <c r="J345" s="222">
        <f>IFERROR(__xludf.DUMMYFUNCTION("IMPORTRANGE(""https://docs.google.com/spreadsheets/d/1SX6NBoVAgQJ6U1MVXOaj8PK2l7WJ3RER9xtqwdhxkhw/edit?usp=sharing"",""สระแก้ว!J240"")"),0.0)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IFERROR(__xludf.DUMMYFUNCTION("IMPORTRANGE(""https://docs.google.com/spreadsheets/d/1SX6NBoVAgQJ6U1MVXOaj8PK2l7WJ3RER9xtqwdhxkhw/edit?usp=sharing"",""สระแก้ว!I241"")"),0.0)</f>
        <v>0</v>
      </c>
      <c r="J346" s="222">
        <f>IFERROR(__xludf.DUMMYFUNCTION("IMPORTRANGE(""https://docs.google.com/spreadsheets/d/1SX6NBoVAgQJ6U1MVXOaj8PK2l7WJ3RER9xtqwdhxkhw/edit?usp=sharing"",""สระแก้ว!J241"")"),0.0)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IFERROR(__xludf.DUMMYFUNCTION("IMPORTRANGE(""https://docs.google.com/spreadsheets/d/1SX6NBoVAgQJ6U1MVXOaj8PK2l7WJ3RER9xtqwdhxkhw/edit?usp=sharing"",""สระแก้ว!L242"")"),2963478.0)</f>
        <v>2963478</v>
      </c>
      <c r="M347" s="391"/>
      <c r="N347" s="391">
        <f>IFERROR(__xludf.DUMMYFUNCTION("IMPORTRANGE(""https://docs.google.com/spreadsheets/d/1SX6NBoVAgQJ6U1MVXOaj8PK2l7WJ3RER9xtqwdhxkhw/edit?usp=sharing"",""สระแก้ว!M242"")"),251511.90000000002)</f>
        <v>251511.9</v>
      </c>
      <c r="O347" s="391">
        <f>+IF(L347&gt;0,N347*100/L347,0)</f>
        <v>8.487051363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IFERROR(__xludf.DUMMYFUNCTION("IMPORTRANGE(""https://docs.google.com/spreadsheets/d/1SX6NBoVAgQJ6U1MVXOaj8PK2l7WJ3RER9xtqwdhxkhw/edit?usp=sharing"",""สระแก้ว!I244"")"),0.0)</f>
        <v>0</v>
      </c>
      <c r="J349" s="404">
        <f>IFERROR(__xludf.DUMMYFUNCTION("IMPORTRANGE(""https://docs.google.com/spreadsheets/d/1SX6NBoVAgQJ6U1MVXOaj8PK2l7WJ3RER9xtqwdhxkhw/edit?usp=sharing"",""สระแก้ว!J244"")"),0.0)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IFERROR(__xludf.DUMMYFUNCTION("IMPORTRANGE(""https://docs.google.com/spreadsheets/d/1SX6NBoVAgQJ6U1MVXOaj8PK2l7WJ3RER9xtqwdhxkhw/edit?usp=sharing"",""สระแก้ว!L244"")"),0.0)</f>
        <v>0</v>
      </c>
      <c r="M349" s="406"/>
      <c r="N349" s="406">
        <f>IFERROR(__xludf.DUMMYFUNCTION("IMPORTRANGE(""https://docs.google.com/spreadsheets/d/1SX6NBoVAgQJ6U1MVXOaj8PK2l7WJ3RER9xtqwdhxkhw/edit?usp=sharing"",""สระแก้ว!M244"")"),0.0)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IFERROR(__xludf.DUMMYFUNCTION("IMPORTRANGE(""https://docs.google.com/spreadsheets/d/1SX6NBoVAgQJ6U1MVXOaj8PK2l7WJ3RER9xtqwdhxkhw/edit?usp=sharing"",""สระแก้ว!I245"")"),0.0)</f>
        <v>0</v>
      </c>
      <c r="J350" s="404">
        <f>IFERROR(__xludf.DUMMYFUNCTION("IMPORTRANGE(""https://docs.google.com/spreadsheets/d/1SX6NBoVAgQJ6U1MVXOaj8PK2l7WJ3RER9xtqwdhxkhw/edit?usp=sharing"",""สระแก้ว!J245"")"),0.0)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IFERROR(__xludf.DUMMYFUNCTION("IMPORTRANGE(""https://docs.google.com/spreadsheets/d/1SX6NBoVAgQJ6U1MVXOaj8PK2l7WJ3RER9xtqwdhxkhw/edit?usp=sharing"",""สระแก้ว!L246"")"),0.0)</f>
        <v>0</v>
      </c>
      <c r="M351" s="197"/>
      <c r="N351" s="197">
        <f>IFERROR(__xludf.DUMMYFUNCTION("IMPORTRANGE(""https://docs.google.com/spreadsheets/d/1SX6NBoVAgQJ6U1MVXOaj8PK2l7WJ3RER9xtqwdhxkhw/edit?usp=sharing"",""สระแก้ว!M246"")"),0.0)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IFERROR(__xludf.DUMMYFUNCTION("IMPORTRANGE(""https://docs.google.com/spreadsheets/d/1SX6NBoVAgQJ6U1MVXOaj8PK2l7WJ3RER9xtqwdhxkhw/edit?usp=sharing"",""สระแก้ว!L247"")"),0.0)</f>
        <v>0</v>
      </c>
      <c r="M352" s="198"/>
      <c r="N352" s="197">
        <f>IFERROR(__xludf.DUMMYFUNCTION("IMPORTRANGE(""https://docs.google.com/spreadsheets/d/1SX6NBoVAgQJ6U1MVXOaj8PK2l7WJ3RER9xtqwdhxkhw/edit?usp=sharing"",""สระแก้ว!M247"")"),0.0)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IFERROR(__xludf.DUMMYFUNCTION("IMPORTRANGE(""https://docs.google.com/spreadsheets/d/1SX6NBoVAgQJ6U1MVXOaj8PK2l7WJ3RER9xtqwdhxkhw/edit?usp=sharing"",""สระแก้ว!L248"")"),0.0)</f>
        <v>0</v>
      </c>
      <c r="M353" s="203"/>
      <c r="N353" s="203">
        <f>IFERROR(__xludf.DUMMYFUNCTION("IMPORTRANGE(""https://docs.google.com/spreadsheets/d/1SX6NBoVAgQJ6U1MVXOaj8PK2l7WJ3RER9xtqwdhxkhw/edit?usp=sharing"",""สระแก้ว!M248"")"),0.0)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IFERROR(__xludf.DUMMYFUNCTION("IMPORTRANGE(""https://docs.google.com/spreadsheets/d/1SX6NBoVAgQJ6U1MVXOaj8PK2l7WJ3RER9xtqwdhxkhw/edit?usp=sharing"",""สระแก้ว!L249"")"),0.0)</f>
        <v>0</v>
      </c>
      <c r="M354" s="203"/>
      <c r="N354" s="200">
        <f>IFERROR(__xludf.DUMMYFUNCTION("IMPORTRANGE(""https://docs.google.com/spreadsheets/d/1SX6NBoVAgQJ6U1MVXOaj8PK2l7WJ3RER9xtqwdhxkhw/edit?usp=sharing"",""สระแก้ว!M249"")"),0.0)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IFERROR(__xludf.DUMMYFUNCTION("IMPORTRANGE(""https://docs.google.com/spreadsheets/d/1SX6NBoVAgQJ6U1MVXOaj8PK2l7WJ3RER9xtqwdhxkhw/edit?usp=sharing"",""สระแก้ว!M250"")"),0.0)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IFERROR(__xludf.DUMMYFUNCTION("IMPORTRANGE(""https://docs.google.com/spreadsheets/d/1SX6NBoVAgQJ6U1MVXOaj8PK2l7WJ3RER9xtqwdhxkhw/edit?usp=sharing"",""สระแก้ว!M251"")"),0.0)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IFERROR(__xludf.DUMMYFUNCTION("IMPORTRANGE(""https://docs.google.com/spreadsheets/d/1SX6NBoVAgQJ6U1MVXOaj8PK2l7WJ3RER9xtqwdhxkhw/edit?usp=sharing"",""สระแก้ว!M252"")"),0.0)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IFERROR(__xludf.DUMMYFUNCTION("IMPORTRANGE(""https://docs.google.com/spreadsheets/d/1SX6NBoVAgQJ6U1MVXOaj8PK2l7WJ3RER9xtqwdhxkhw/edit?usp=sharing"",""สระแก้ว!M253"")"),0.0)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IFERROR(__xludf.DUMMYFUNCTION("IMPORTRANGE(""https://docs.google.com/spreadsheets/d/1SX6NBoVAgQJ6U1MVXOaj8PK2l7WJ3RER9xtqwdhxkhw/edit?usp=sharing"",""สระแก้ว!J255"")"),0.0)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IFERROR(__xludf.DUMMYFUNCTION("IMPORTRANGE(""https://docs.google.com/spreadsheets/d/1SX6NBoVAgQJ6U1MVXOaj8PK2l7WJ3RER9xtqwdhxkhw/edit?usp=sharing"",""สระแก้ว!J256"")"),0.0)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IFERROR(__xludf.DUMMYFUNCTION("IMPORTRANGE(""https://docs.google.com/spreadsheets/d/1SX6NBoVAgQJ6U1MVXOaj8PK2l7WJ3RER9xtqwdhxkhw/edit?usp=sharing"",""สระแก้ว!J257"")"),0.0)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IFERROR(__xludf.DUMMYFUNCTION("IMPORTRANGE(""https://docs.google.com/spreadsheets/d/1SX6NBoVAgQJ6U1MVXOaj8PK2l7WJ3RER9xtqwdhxkhw/edit?usp=sharing"",""สระแก้ว!J258"")"),0.0)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IFERROR(__xludf.DUMMYFUNCTION("IMPORTRANGE(""https://docs.google.com/spreadsheets/d/1SX6NBoVAgQJ6U1MVXOaj8PK2l7WJ3RER9xtqwdhxkhw/edit?usp=sharing"",""สระแก้ว!J166"")"),0.0)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IFERROR(__xludf.DUMMYFUNCTION("IMPORTRANGE(""https://docs.google.com/spreadsheets/d/1SX6NBoVAgQJ6U1MVXOaj8PK2l7WJ3RER9xtqwdhxkhw/edit?usp=sharing"",""สระแก้ว!J166"")"),0.0)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IFERROR(__xludf.DUMMYFUNCTION("IMPORTRANGE(""https://docs.google.com/spreadsheets/d/1SX6NBoVAgQJ6U1MVXOaj8PK2l7WJ3RER9xtqwdhxkhw/edit?usp=sharing"",""สระแก้ว!J166"")"),0.0)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IFERROR(__xludf.DUMMYFUNCTION("IMPORTRANGE(""https://docs.google.com/spreadsheets/d/1SX6NBoVAgQJ6U1MVXOaj8PK2l7WJ3RER9xtqwdhxkhw/edit?usp=sharing"",""สระแก้ว!J166"")"),0.0)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IFERROR(__xludf.DUMMYFUNCTION("IMPORTRANGE(""https://docs.google.com/spreadsheets/d/1SX6NBoVAgQJ6U1MVXOaj8PK2l7WJ3RER9xtqwdhxkhw/edit?usp=sharing"",""สระแก้ว!I263"")"),0.0)</f>
        <v>0</v>
      </c>
      <c r="J368" s="222">
        <f>IFERROR(__xludf.DUMMYFUNCTION("IMPORTRANGE(""https://docs.google.com/spreadsheets/d/1SX6NBoVAgQJ6U1MVXOaj8PK2l7WJ3RER9xtqwdhxkhw/edit?usp=sharing"",""สระแก้ว!J263"")"),0.0)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IFERROR(__xludf.DUMMYFUNCTION("IMPORTRANGE(""https://docs.google.com/spreadsheets/d/1SX6NBoVAgQJ6U1MVXOaj8PK2l7WJ3RER9xtqwdhxkhw/edit?usp=sharing"",""สระแก้ว!I164"")"),0.0)</f>
        <v>0</v>
      </c>
      <c r="J369" s="238">
        <f>IFERROR(__xludf.DUMMYFUNCTION("IMPORTRANGE(""https://docs.google.com/spreadsheets/d/1SX6NBoVAgQJ6U1MVXOaj8PK2l7WJ3RER9xtqwdhxkhw/edit?usp=sharing"",""สระแก้ว!J164"")"),0.0)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IFERROR(__xludf.DUMMYFUNCTION("IMPORTRANGE(""https://docs.google.com/spreadsheets/d/1SX6NBoVAgQJ6U1MVXOaj8PK2l7WJ3RER9xtqwdhxkhw/edit?usp=sharing"",""สระแก้ว!I265"")"),0.0)</f>
        <v>0</v>
      </c>
      <c r="J370" s="238">
        <f>IFERROR(__xludf.DUMMYFUNCTION("IMPORTRANGE(""https://docs.google.com/spreadsheets/d/1SX6NBoVAgQJ6U1MVXOaj8PK2l7WJ3RER9xtqwdhxkhw/edit?usp=sharing"",""สระแก้ว!J265"")"),0.0)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IFERROR(__xludf.DUMMYFUNCTION("IMPORTRANGE(""https://docs.google.com/spreadsheets/d/1SX6NBoVAgQJ6U1MVXOaj8PK2l7WJ3RER9xtqwdhxkhw/edit?usp=sharing"",""สระแก้ว!I164"")"),0.0)</f>
        <v>0</v>
      </c>
      <c r="J371" s="223">
        <f>IFERROR(__xludf.DUMMYFUNCTION("IMPORTRANGE(""https://docs.google.com/spreadsheets/d/1SX6NBoVAgQJ6U1MVXOaj8PK2l7WJ3RER9xtqwdhxkhw/edit?usp=sharing"",""สระแก้ว!J164"")"),0.0)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IFERROR(__xludf.DUMMYFUNCTION("IMPORTRANGE(""https://docs.google.com/spreadsheets/d/1SX6NBoVAgQJ6U1MVXOaj8PK2l7WJ3RER9xtqwdhxkhw/edit?usp=sharing"",""สระแก้ว!I267"")"),0.0)</f>
        <v>0</v>
      </c>
      <c r="J372" s="223">
        <f>IFERROR(__xludf.DUMMYFUNCTION("IMPORTRANGE(""https://docs.google.com/spreadsheets/d/1SX6NBoVAgQJ6U1MVXOaj8PK2l7WJ3RER9xtqwdhxkhw/edit?usp=sharing"",""สระแก้ว!J267"")"),0.0)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IFERROR(__xludf.DUMMYFUNCTION("IMPORTRANGE(""https://docs.google.com/spreadsheets/d/1SX6NBoVAgQJ6U1MVXOaj8PK2l7WJ3RER9xtqwdhxkhw/edit?usp=sharing"",""สระแก้ว!I164"")"),0.0)</f>
        <v>0</v>
      </c>
      <c r="J373" s="238">
        <f>IFERROR(__xludf.DUMMYFUNCTION("IMPORTRANGE(""https://docs.google.com/spreadsheets/d/1SX6NBoVAgQJ6U1MVXOaj8PK2l7WJ3RER9xtqwdhxkhw/edit?usp=sharing"",""สระแก้ว!J164"")"),0.0)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IFERROR(__xludf.DUMMYFUNCTION("IMPORTRANGE(""https://docs.google.com/spreadsheets/d/1SX6NBoVAgQJ6U1MVXOaj8PK2l7WJ3RER9xtqwdhxkhw/edit?usp=sharing"",""สระแก้ว!I164"")"),0.0)</f>
        <v>0</v>
      </c>
      <c r="J374" s="222">
        <f>IFERROR(__xludf.DUMMYFUNCTION("IMPORTRANGE(""https://docs.google.com/spreadsheets/d/1SX6NBoVAgQJ6U1MVXOaj8PK2l7WJ3RER9xtqwdhxkhw/edit?usp=sharing"",""สระแก้ว!J164"")"),0.0)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IFERROR(__xludf.DUMMYFUNCTION("IMPORTRANGE(""https://docs.google.com/spreadsheets/d/1SX6NBoVAgQJ6U1MVXOaj8PK2l7WJ3RER9xtqwdhxkhw/edit?usp=sharing"",""สระแก้ว!I270"")"),0.0)</f>
        <v>0</v>
      </c>
      <c r="J375" s="222">
        <f>IFERROR(__xludf.DUMMYFUNCTION("IMPORTRANGE(""https://docs.google.com/spreadsheets/d/1SX6NBoVAgQJ6U1MVXOaj8PK2l7WJ3RER9xtqwdhxkhw/edit?usp=sharing"",""สระแก้ว!J270"")"),0.0)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IFERROR(__xludf.DUMMYFUNCTION("IMPORTRANGE(""https://docs.google.com/spreadsheets/d/1SX6NBoVAgQJ6U1MVXOaj8PK2l7WJ3RER9xtqwdhxkhw/edit?usp=sharing"",""สระแก้ว!I271"")"),0.0)</f>
        <v>0</v>
      </c>
      <c r="J376" s="223">
        <f>IFERROR(__xludf.DUMMYFUNCTION("IMPORTRANGE(""https://docs.google.com/spreadsheets/d/1SX6NBoVAgQJ6U1MVXOaj8PK2l7WJ3RER9xtqwdhxkhw/edit?usp=sharing"",""สระแก้ว!J271"")"),0.0)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IFERROR(__xludf.DUMMYFUNCTION("IMPORTRANGE(""https://docs.google.com/spreadsheets/d/1SX6NBoVAgQJ6U1MVXOaj8PK2l7WJ3RER9xtqwdhxkhw/edit?usp=sharing"",""สระแก้ว!I272"")"),0.0)</f>
        <v>0</v>
      </c>
      <c r="J377" s="238">
        <f>IFERROR(__xludf.DUMMYFUNCTION("IMPORTRANGE(""https://docs.google.com/spreadsheets/d/1SX6NBoVAgQJ6U1MVXOaj8PK2l7WJ3RER9xtqwdhxkhw/edit?usp=sharing"",""สระแก้ว!J272"")"),0.0)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IFERROR(__xludf.DUMMYFUNCTION("IMPORTRANGE(""https://docs.google.com/spreadsheets/d/1SX6NBoVAgQJ6U1MVXOaj8PK2l7WJ3RER9xtqwdhxkhw/edit?usp=sharing"",""สระแก้ว!J273"")"),0.0)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IFERROR(__xludf.DUMMYFUNCTION("IMPORTRANGE(""https://docs.google.com/spreadsheets/d/1SX6NBoVAgQJ6U1MVXOaj8PK2l7WJ3RER9xtqwdhxkhw/edit?usp=sharing"",""สระแก้ว!J274"")"),0.0)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IFERROR(__xludf.DUMMYFUNCTION("IMPORTRANGE(""https://docs.google.com/spreadsheets/d/1SX6NBoVAgQJ6U1MVXOaj8PK2l7WJ3RER9xtqwdhxkhw/edit?usp=sharing"",""สระแก้ว!I275"")"),1000.0)</f>
        <v>1000</v>
      </c>
      <c r="J380" s="404">
        <f>IFERROR(__xludf.DUMMYFUNCTION("IMPORTRANGE(""https://docs.google.com/spreadsheets/d/1SX6NBoVAgQJ6U1MVXOaj8PK2l7WJ3RER9xtqwdhxkhw/edit?usp=sharing"",""สระแก้ว!J275"")"),0.0)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IFERROR(__xludf.DUMMYFUNCTION("IMPORTRANGE(""https://docs.google.com/spreadsheets/d/1SX6NBoVAgQJ6U1MVXOaj8PK2l7WJ3RER9xtqwdhxkhw/edit?usp=sharing"",""สระแก้ว!L275"")"),1028520.0)</f>
        <v>1028520</v>
      </c>
      <c r="M380" s="406"/>
      <c r="N380" s="406">
        <f>IFERROR(__xludf.DUMMYFUNCTION("IMPORTRANGE(""https://docs.google.com/spreadsheets/d/1SX6NBoVAgQJ6U1MVXOaj8PK2l7WJ3RER9xtqwdhxkhw/edit?usp=sharing"",""สระแก้ว!M275"")"),39185.58)</f>
        <v>39185.58</v>
      </c>
      <c r="O380" s="406">
        <f>+IF(L380&gt;0,N380*100/L380,0)</f>
        <v>3.809899662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IFERROR(__xludf.DUMMYFUNCTION("IMPORTRANGE(""https://docs.google.com/spreadsheets/d/1SX6NBoVAgQJ6U1MVXOaj8PK2l7WJ3RER9xtqwdhxkhw/edit?usp=sharing"",""สระแก้ว!I276"")"),100.0)</f>
        <v>100</v>
      </c>
      <c r="J381" s="404">
        <f>IFERROR(__xludf.DUMMYFUNCTION("IMPORTRANGE(""https://docs.google.com/spreadsheets/d/1SX6NBoVAgQJ6U1MVXOaj8PK2l7WJ3RER9xtqwdhxkhw/edit?usp=sharing"",""สระแก้ว!J276"")"),0.0)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IFERROR(__xludf.DUMMYFUNCTION("IMPORTRANGE(""https://docs.google.com/spreadsheets/d/1SX6NBoVAgQJ6U1MVXOaj8PK2l7WJ3RER9xtqwdhxkhw/edit?usp=sharing"",""สระแก้ว!L277"")"),0.0)</f>
        <v>0</v>
      </c>
      <c r="M382" s="197"/>
      <c r="N382" s="197">
        <f>IFERROR(__xludf.DUMMYFUNCTION("IMPORTRANGE(""https://docs.google.com/spreadsheets/d/1SX6NBoVAgQJ6U1MVXOaj8PK2l7WJ3RER9xtqwdhxkhw/edit?usp=sharing"",""สระแก้ว!M277"")"),0.0)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IFERROR(__xludf.DUMMYFUNCTION("IMPORTRANGE(""https://docs.google.com/spreadsheets/d/1SX6NBoVAgQJ6U1MVXOaj8PK2l7WJ3RER9xtqwdhxkhw/edit?usp=sharing"",""สระแก้ว!L278"")"),1028520.0)</f>
        <v>1028520</v>
      </c>
      <c r="M383" s="198"/>
      <c r="N383" s="198">
        <f>IFERROR(__xludf.DUMMYFUNCTION("IMPORTRANGE(""https://docs.google.com/spreadsheets/d/1SX6NBoVAgQJ6U1MVXOaj8PK2l7WJ3RER9xtqwdhxkhw/edit?usp=sharing"",""สระแก้ว!M278"")"),39185.58)</f>
        <v>39185.58</v>
      </c>
      <c r="O383" s="198">
        <f t="shared" si="110"/>
        <v>3.809899662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IFERROR(__xludf.DUMMYFUNCTION("IMPORTRANGE(""https://docs.google.com/spreadsheets/d/1SX6NBoVAgQJ6U1MVXOaj8PK2l7WJ3RER9xtqwdhxkhw/edit?usp=sharing"",""สระแก้ว!L279"")"),0.0)</f>
        <v>0</v>
      </c>
      <c r="M384" s="203"/>
      <c r="N384" s="203">
        <f>IFERROR(__xludf.DUMMYFUNCTION("IMPORTRANGE(""https://docs.google.com/spreadsheets/d/1SX6NBoVAgQJ6U1MVXOaj8PK2l7WJ3RER9xtqwdhxkhw/edit?usp=sharing"",""สระแก้ว!M279"")"),0.0)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IFERROR(__xludf.DUMMYFUNCTION("IMPORTRANGE(""https://docs.google.com/spreadsheets/d/1SX6NBoVAgQJ6U1MVXOaj8PK2l7WJ3RER9xtqwdhxkhw/edit?usp=sharing"",""สระแก้ว!L280"")"),1028520.0)</f>
        <v>1028520</v>
      </c>
      <c r="M385" s="203"/>
      <c r="N385" s="200">
        <f>IFERROR(__xludf.DUMMYFUNCTION("IMPORTRANGE(""https://docs.google.com/spreadsheets/d/1SX6NBoVAgQJ6U1MVXOaj8PK2l7WJ3RER9xtqwdhxkhw/edit?usp=sharing"",""สระแก้ว!M280"")"),39185.58)</f>
        <v>39185.58</v>
      </c>
      <c r="O385" s="203">
        <f t="shared" si="110"/>
        <v>3.809899662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IFERROR(__xludf.DUMMYFUNCTION("IMPORTRANGE(""https://docs.google.com/spreadsheets/d/1SX6NBoVAgQJ6U1MVXOaj8PK2l7WJ3RER9xtqwdhxkhw/edit?usp=sharing"",""สระแก้ว!M281"")"),0.0)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IFERROR(__xludf.DUMMYFUNCTION("IMPORTRANGE(""https://docs.google.com/spreadsheets/d/1SX6NBoVAgQJ6U1MVXOaj8PK2l7WJ3RER9xtqwdhxkhw/edit?usp=sharing"",""สระแก้ว!M282"")"),0.0)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IFERROR(__xludf.DUMMYFUNCTION("IMPORTRANGE(""https://docs.google.com/spreadsheets/d/1SX6NBoVAgQJ6U1MVXOaj8PK2l7WJ3RER9xtqwdhxkhw/edit?usp=sharing"",""สระแก้ว!M283"")"),31225.58)</f>
        <v>31225.58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IFERROR(__xludf.DUMMYFUNCTION("IMPORTRANGE(""https://docs.google.com/spreadsheets/d/1SX6NBoVAgQJ6U1MVXOaj8PK2l7WJ3RER9xtqwdhxkhw/edit?usp=sharing"",""สระแก้ว!M284"")"),7960.0)</f>
        <v>7960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IFERROR(__xludf.DUMMYFUNCTION("IMPORTRANGE(""https://docs.google.com/spreadsheets/d/1SX6NBoVAgQJ6U1MVXOaj8PK2l7WJ3RER9xtqwdhxkhw/edit?usp=sharing"",""สระแก้ว!J286"")"),0.0)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IFERROR(__xludf.DUMMYFUNCTION("IMPORTRANGE(""https://docs.google.com/spreadsheets/d/1SX6NBoVAgQJ6U1MVXOaj8PK2l7WJ3RER9xtqwdhxkhw/edit?usp=sharing"",""สระแก้ว!J287"")"),1.0)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IFERROR(__xludf.DUMMYFUNCTION("IMPORTRANGE(""https://docs.google.com/spreadsheets/d/1SX6NBoVAgQJ6U1MVXOaj8PK2l7WJ3RER9xtqwdhxkhw/edit?usp=sharing"",""สระแก้ว!J288"")"),1.0)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IFERROR(__xludf.DUMMYFUNCTION("IMPORTRANGE(""https://docs.google.com/spreadsheets/d/1SX6NBoVAgQJ6U1MVXOaj8PK2l7WJ3RER9xtqwdhxkhw/edit?usp=sharing"",""สระแก้ว!J289"")"),1.0)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IFERROR(__xludf.DUMMYFUNCTION("IMPORTRANGE(""https://docs.google.com/spreadsheets/d/1SX6NBoVAgQJ6U1MVXOaj8PK2l7WJ3RER9xtqwdhxkhw/edit?usp=sharing"",""สระแก้ว!I291"")"),100.0)</f>
        <v>100</v>
      </c>
      <c r="J396" s="232">
        <f>IFERROR(__xludf.DUMMYFUNCTION("IMPORTRANGE(""https://docs.google.com/spreadsheets/d/1SX6NBoVAgQJ6U1MVXOaj8PK2l7WJ3RER9xtqwdhxkhw/edit?usp=sharing"",""สระแก้ว!J291"")"),0.0)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IFERROR(__xludf.DUMMYFUNCTION("IMPORTRANGE(""https://docs.google.com/spreadsheets/d/1SX6NBoVAgQJ6U1MVXOaj8PK2l7WJ3RER9xtqwdhxkhw/edit?usp=sharing"",""สระแก้ว!I292"")"),1000.0)</f>
        <v>1000</v>
      </c>
      <c r="J397" s="232">
        <f>IFERROR(__xludf.DUMMYFUNCTION("IMPORTRANGE(""https://docs.google.com/spreadsheets/d/1SX6NBoVAgQJ6U1MVXOaj8PK2l7WJ3RER9xtqwdhxkhw/edit?usp=sharing"",""สระแก้ว!J292"")"),0.0)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IFERROR(__xludf.DUMMYFUNCTION("IMPORTRANGE(""https://docs.google.com/spreadsheets/d/1SX6NBoVAgQJ6U1MVXOaj8PK2l7WJ3RER9xtqwdhxkhw/edit?usp=sharing"",""สระแก้ว!I293"")"),100.0)</f>
        <v>100</v>
      </c>
      <c r="J398" s="232">
        <f>IFERROR(__xludf.DUMMYFUNCTION("IMPORTRANGE(""https://docs.google.com/spreadsheets/d/1SX6NBoVAgQJ6U1MVXOaj8PK2l7WJ3RER9xtqwdhxkhw/edit?usp=sharing"",""สระแก้ว!J293"")"),0.0)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IFERROR(__xludf.DUMMYFUNCTION("IMPORTRANGE(""https://docs.google.com/spreadsheets/d/1SX6NBoVAgQJ6U1MVXOaj8PK2l7WJ3RER9xtqwdhxkhw/edit?usp=sharing"",""สระแก้ว!J294"")"),0.0)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IFERROR(__xludf.DUMMYFUNCTION("IMPORTRANGE(""https://docs.google.com/spreadsheets/d/1SX6NBoVAgQJ6U1MVXOaj8PK2l7WJ3RER9xtqwdhxkhw/edit?usp=sharing"",""สระแก้ว!J295"")"),0.0)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IFERROR(__xludf.DUMMYFUNCTION("IMPORTRANGE(""https://docs.google.com/spreadsheets/d/1SX6NBoVAgQJ6U1MVXOaj8PK2l7WJ3RER9xtqwdhxkhw/edit?usp=sharing"",""สระแก้ว!I296"")"),195.0)</f>
        <v>195</v>
      </c>
      <c r="J401" s="404">
        <f>IFERROR(__xludf.DUMMYFUNCTION("IMPORTRANGE(""https://docs.google.com/spreadsheets/d/1SX6NBoVAgQJ6U1MVXOaj8PK2l7WJ3RER9xtqwdhxkhw/edit?usp=sharing"",""สระแก้ว!J296"")"),0.0)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IFERROR(__xludf.DUMMYFUNCTION("IMPORTRANGE(""https://docs.google.com/spreadsheets/d/1SX6NBoVAgQJ6U1MVXOaj8PK2l7WJ3RER9xtqwdhxkhw/edit?usp=sharing"",""สระแก้ว!L296"")"),196620.0)</f>
        <v>196620</v>
      </c>
      <c r="M401" s="406"/>
      <c r="N401" s="406">
        <f>IFERROR(__xludf.DUMMYFUNCTION("IMPORTRANGE(""https://docs.google.com/spreadsheets/d/1SX6NBoVAgQJ6U1MVXOaj8PK2l7WJ3RER9xtqwdhxkhw/edit?usp=sharing"",""สระแก้ว!M296"")"),0.0)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IFERROR(__xludf.DUMMYFUNCTION("IMPORTRANGE(""https://docs.google.com/spreadsheets/d/1SX6NBoVAgQJ6U1MVXOaj8PK2l7WJ3RER9xtqwdhxkhw/edit?usp=sharing"",""สระแก้ว!I297"")"),65.0)</f>
        <v>65</v>
      </c>
      <c r="J402" s="404">
        <f>IFERROR(__xludf.DUMMYFUNCTION("IMPORTRANGE(""https://docs.google.com/spreadsheets/d/1SX6NBoVAgQJ6U1MVXOaj8PK2l7WJ3RER9xtqwdhxkhw/edit?usp=sharing"",""สระแก้ว!J297"")"),0.0)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IFERROR(__xludf.DUMMYFUNCTION("IMPORTRANGE(""https://docs.google.com/spreadsheets/d/1SX6NBoVAgQJ6U1MVXOaj8PK2l7WJ3RER9xtqwdhxkhw/edit?usp=sharing"",""สระแก้ว!L298"")"),0.0)</f>
        <v>0</v>
      </c>
      <c r="M403" s="197"/>
      <c r="N403" s="203">
        <f>IFERROR(__xludf.DUMMYFUNCTION("IMPORTRANGE(""https://docs.google.com/spreadsheets/d/1SX6NBoVAgQJ6U1MVXOaj8PK2l7WJ3RER9xtqwdhxkhw/edit?usp=sharing"",""สระแก้ว!M298"")"),0.0)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IFERROR(__xludf.DUMMYFUNCTION("IMPORTRANGE(""https://docs.google.com/spreadsheets/d/1SX6NBoVAgQJ6U1MVXOaj8PK2l7WJ3RER9xtqwdhxkhw/edit?usp=sharing"",""สระแก้ว!L299"")"),196620.0)</f>
        <v>196620</v>
      </c>
      <c r="M404" s="198"/>
      <c r="N404" s="203">
        <f>IFERROR(__xludf.DUMMYFUNCTION("IMPORTRANGE(""https://docs.google.com/spreadsheets/d/1SX6NBoVAgQJ6U1MVXOaj8PK2l7WJ3RER9xtqwdhxkhw/edit?usp=sharing"",""สระแก้ว!M299"")"),0.0)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IFERROR(__xludf.DUMMYFUNCTION("IMPORTRANGE(""https://docs.google.com/spreadsheets/d/1SX6NBoVAgQJ6U1MVXOaj8PK2l7WJ3RER9xtqwdhxkhw/edit?usp=sharing"",""สระแก้ว!L300"")"),0.0)</f>
        <v>0</v>
      </c>
      <c r="M405" s="203"/>
      <c r="N405" s="203">
        <f>IFERROR(__xludf.DUMMYFUNCTION("IMPORTRANGE(""https://docs.google.com/spreadsheets/d/1SX6NBoVAgQJ6U1MVXOaj8PK2l7WJ3RER9xtqwdhxkhw/edit?usp=sharing"",""สระแก้ว!M300"")"),0.0)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IFERROR(__xludf.DUMMYFUNCTION("IMPORTRANGE(""https://docs.google.com/spreadsheets/d/1SX6NBoVAgQJ6U1MVXOaj8PK2l7WJ3RER9xtqwdhxkhw/edit?usp=sharing"",""สระแก้ว!L301"")"),196620.0)</f>
        <v>196620</v>
      </c>
      <c r="M406" s="203"/>
      <c r="N406" s="203">
        <f>IFERROR(__xludf.DUMMYFUNCTION("IMPORTRANGE(""https://docs.google.com/spreadsheets/d/1SX6NBoVAgQJ6U1MVXOaj8PK2l7WJ3RER9xtqwdhxkhw/edit?usp=sharing"",""สระแก้ว!M301"")"),0.0)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IFERROR(__xludf.DUMMYFUNCTION("IMPORTRANGE(""https://docs.google.com/spreadsheets/d/1SX6NBoVAgQJ6U1MVXOaj8PK2l7WJ3RER9xtqwdhxkhw/edit?usp=sharing"",""สระแก้ว!M302"")"),0.0)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IFERROR(__xludf.DUMMYFUNCTION("IMPORTRANGE(""https://docs.google.com/spreadsheets/d/1SX6NBoVAgQJ6U1MVXOaj8PK2l7WJ3RER9xtqwdhxkhw/edit?usp=sharing"",""สระแก้ว!M303"")"),0.0)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IFERROR(__xludf.DUMMYFUNCTION("IMPORTRANGE(""https://docs.google.com/spreadsheets/d/1SX6NBoVAgQJ6U1MVXOaj8PK2l7WJ3RER9xtqwdhxkhw/edit?usp=sharing"",""สระแก้ว!M304"")"),0.0)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IFERROR(__xludf.DUMMYFUNCTION("IMPORTRANGE(""https://docs.google.com/spreadsheets/d/1SX6NBoVAgQJ6U1MVXOaj8PK2l7WJ3RER9xtqwdhxkhw/edit?usp=sharing"",""สระแก้ว!M305"")"),0.0)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IFERROR(__xludf.DUMMYFUNCTION("IMPORTRANGE(""https://docs.google.com/spreadsheets/d/1SX6NBoVAgQJ6U1MVXOaj8PK2l7WJ3RER9xtqwdhxkhw/edit?usp=sharing"",""สระแก้ว!J307"")"),1.0)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IFERROR(__xludf.DUMMYFUNCTION("IMPORTRANGE(""https://docs.google.com/spreadsheets/d/1SX6NBoVAgQJ6U1MVXOaj8PK2l7WJ3RER9xtqwdhxkhw/edit?usp=sharing"",""สระแก้ว!J308"")"),1.0)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IFERROR(__xludf.DUMMYFUNCTION("IMPORTRANGE(""https://docs.google.com/spreadsheets/d/1SX6NBoVAgQJ6U1MVXOaj8PK2l7WJ3RER9xtqwdhxkhw/edit?usp=sharing"",""สระแก้ว!J309"")"),1.0)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IFERROR(__xludf.DUMMYFUNCTION("IMPORTRANGE(""https://docs.google.com/spreadsheets/d/1SX6NBoVAgQJ6U1MVXOaj8PK2l7WJ3RER9xtqwdhxkhw/edit?usp=sharing"",""สระแก้ว!J310"")"),1.0)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IFERROR(__xludf.DUMMYFUNCTION("IMPORTRANGE(""https://docs.google.com/spreadsheets/d/1SX6NBoVAgQJ6U1MVXOaj8PK2l7WJ3RER9xtqwdhxkhw/edit?usp=sharing"",""สระแก้ว!I311"")"),65.0)</f>
        <v>65</v>
      </c>
      <c r="J416" s="235">
        <f>IFERROR(__xludf.DUMMYFUNCTION("IMPORTRANGE(""https://docs.google.com/spreadsheets/d/1SX6NBoVAgQJ6U1MVXOaj8PK2l7WJ3RER9xtqwdhxkhw/edit?usp=sharing"",""สระแก้ว!J311"")"),0.0)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IFERROR(__xludf.DUMMYFUNCTION("IMPORTRANGE(""https://docs.google.com/spreadsheets/d/1SX6NBoVAgQJ6U1MVXOaj8PK2l7WJ3RER9xtqwdhxkhw/edit?usp=sharing"",""สระแก้ว!I312"")"),15.0)</f>
        <v>15</v>
      </c>
      <c r="J417" s="425">
        <f>IFERROR(__xludf.DUMMYFUNCTION("IMPORTRANGE(""https://docs.google.com/spreadsheets/d/1SX6NBoVAgQJ6U1MVXOaj8PK2l7WJ3RER9xtqwdhxkhw/edit?usp=sharing"",""สระแก้ว!J312"")"),0.0)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IFERROR(__xludf.DUMMYFUNCTION("IMPORTRANGE(""https://docs.google.com/spreadsheets/d/1SX6NBoVAgQJ6U1MVXOaj8PK2l7WJ3RER9xtqwdhxkhw/edit?usp=sharing"",""สระแก้ว!I313"")"),45.0)</f>
        <v>45</v>
      </c>
      <c r="J418" s="426">
        <f>IFERROR(__xludf.DUMMYFUNCTION("IMPORTRANGE(""https://docs.google.com/spreadsheets/d/1SX6NBoVAgQJ6U1MVXOaj8PK2l7WJ3RER9xtqwdhxkhw/edit?usp=sharing"",""สระแก้ว!J313"")"),0.0)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IFERROR(__xludf.DUMMYFUNCTION("IMPORTRANGE(""https://docs.google.com/spreadsheets/d/1SX6NBoVAgQJ6U1MVXOaj8PK2l7WJ3RER9xtqwdhxkhw/edit?usp=sharing"",""สระแก้ว!I314"")"),15.0)</f>
        <v>15</v>
      </c>
      <c r="J419" s="427">
        <f>IFERROR(__xludf.DUMMYFUNCTION("IMPORTRANGE(""https://docs.google.com/spreadsheets/d/1SX6NBoVAgQJ6U1MVXOaj8PK2l7WJ3RER9xtqwdhxkhw/edit?usp=sharing"",""สระแก้ว!J314"")"),0.0)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IFERROR(__xludf.DUMMYFUNCTION("IMPORTRANGE(""https://docs.google.com/spreadsheets/d/1SX6NBoVAgQJ6U1MVXOaj8PK2l7WJ3RER9xtqwdhxkhw/edit?usp=sharing"",""สระแก้ว!I315"")"),15.0)</f>
        <v>15</v>
      </c>
      <c r="J420" s="427">
        <f>IFERROR(__xludf.DUMMYFUNCTION("IMPORTRANGE(""https://docs.google.com/spreadsheets/d/1SX6NBoVAgQJ6U1MVXOaj8PK2l7WJ3RER9xtqwdhxkhw/edit?usp=sharing"",""สระแก้ว!J315"")"),0.0)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IFERROR(__xludf.DUMMYFUNCTION("IMPORTRANGE(""https://docs.google.com/spreadsheets/d/1SX6NBoVAgQJ6U1MVXOaj8PK2l7WJ3RER9xtqwdhxkhw/edit?usp=sharing"",""สระแก้ว!I316"")"),26.0)</f>
        <v>26</v>
      </c>
      <c r="J421" s="425">
        <f>IFERROR(__xludf.DUMMYFUNCTION("IMPORTRANGE(""https://docs.google.com/spreadsheets/d/1SX6NBoVAgQJ6U1MVXOaj8PK2l7WJ3RER9xtqwdhxkhw/edit?usp=sharing"",""สระแก้ว!J316"")"),0.0)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IFERROR(__xludf.DUMMYFUNCTION("IMPORTRANGE(""https://docs.google.com/spreadsheets/d/1SX6NBoVAgQJ6U1MVXOaj8PK2l7WJ3RER9xtqwdhxkhw/edit?usp=sharing"",""สระแก้ว!I317"")"),78.0)</f>
        <v>78</v>
      </c>
      <c r="J422" s="426">
        <f>IFERROR(__xludf.DUMMYFUNCTION("IMPORTRANGE(""https://docs.google.com/spreadsheets/d/1SX6NBoVAgQJ6U1MVXOaj8PK2l7WJ3RER9xtqwdhxkhw/edit?usp=sharing"",""สระแก้ว!J317"")"),0.0)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IFERROR(__xludf.DUMMYFUNCTION("IMPORTRANGE(""https://docs.google.com/spreadsheets/d/1SX6NBoVAgQJ6U1MVXOaj8PK2l7WJ3RER9xtqwdhxkhw/edit?usp=sharing"",""สระแก้ว!I318"")"),26.0)</f>
        <v>26</v>
      </c>
      <c r="J423" s="427">
        <f>IFERROR(__xludf.DUMMYFUNCTION("IMPORTRANGE(""https://docs.google.com/spreadsheets/d/1SX6NBoVAgQJ6U1MVXOaj8PK2l7WJ3RER9xtqwdhxkhw/edit?usp=sharing"",""สระแก้ว!J318"")"),0.0)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IFERROR(__xludf.DUMMYFUNCTION("IMPORTRANGE(""https://docs.google.com/spreadsheets/d/1SX6NBoVAgQJ6U1MVXOaj8PK2l7WJ3RER9xtqwdhxkhw/edit?usp=sharing"",""สระแก้ว!I319"")"),26.0)</f>
        <v>26</v>
      </c>
      <c r="J424" s="427">
        <f>IFERROR(__xludf.DUMMYFUNCTION("IMPORTRANGE(""https://docs.google.com/spreadsheets/d/1SX6NBoVAgQJ6U1MVXOaj8PK2l7WJ3RER9xtqwdhxkhw/edit?usp=sharing"",""สระแก้ว!J319"")"),0.0)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IFERROR(__xludf.DUMMYFUNCTION("IMPORTRANGE(""https://docs.google.com/spreadsheets/d/1SX6NBoVAgQJ6U1MVXOaj8PK2l7WJ3RER9xtqwdhxkhw/edit?usp=sharing"",""สระแก้ว!I320"")"),26.0)</f>
        <v>26</v>
      </c>
      <c r="J425" s="427">
        <f>IFERROR(__xludf.DUMMYFUNCTION("IMPORTRANGE(""https://docs.google.com/spreadsheets/d/1SX6NBoVAgQJ6U1MVXOaj8PK2l7WJ3RER9xtqwdhxkhw/edit?usp=sharing"",""สระแก้ว!J320"")"),0.0)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IFERROR(__xludf.DUMMYFUNCTION("IMPORTRANGE(""https://docs.google.com/spreadsheets/d/1SX6NBoVAgQJ6U1MVXOaj8PK2l7WJ3RER9xtqwdhxkhw/edit?usp=sharing"",""สระแก้ว!I321"")"),24.0)</f>
        <v>24</v>
      </c>
      <c r="J426" s="425">
        <f>IFERROR(__xludf.DUMMYFUNCTION("IMPORTRANGE(""https://docs.google.com/spreadsheets/d/1SX6NBoVAgQJ6U1MVXOaj8PK2l7WJ3RER9xtqwdhxkhw/edit?usp=sharing"",""สระแก้ว!J321"")"),0.0)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IFERROR(__xludf.DUMMYFUNCTION("IMPORTRANGE(""https://docs.google.com/spreadsheets/d/1SX6NBoVAgQJ6U1MVXOaj8PK2l7WJ3RER9xtqwdhxkhw/edit?usp=sharing"",""สระแก้ว!I322"")"),72.0)</f>
        <v>72</v>
      </c>
      <c r="J427" s="426">
        <f>IFERROR(__xludf.DUMMYFUNCTION("IMPORTRANGE(""https://docs.google.com/spreadsheets/d/1SX6NBoVAgQJ6U1MVXOaj8PK2l7WJ3RER9xtqwdhxkhw/edit?usp=sharing"",""สระแก้ว!J322"")"),0.0)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IFERROR(__xludf.DUMMYFUNCTION("IMPORTRANGE(""https://docs.google.com/spreadsheets/d/1SX6NBoVAgQJ6U1MVXOaj8PK2l7WJ3RER9xtqwdhxkhw/edit?usp=sharing"",""สระแก้ว!I323"")"),24.0)</f>
        <v>24</v>
      </c>
      <c r="J428" s="427">
        <f>IFERROR(__xludf.DUMMYFUNCTION("IMPORTRANGE(""https://docs.google.com/spreadsheets/d/1SX6NBoVAgQJ6U1MVXOaj8PK2l7WJ3RER9xtqwdhxkhw/edit?usp=sharing"",""สระแก้ว!J323"")"),0.0)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IFERROR(__xludf.DUMMYFUNCTION("IMPORTRANGE(""https://docs.google.com/spreadsheets/d/1SX6NBoVAgQJ6U1MVXOaj8PK2l7WJ3RER9xtqwdhxkhw/edit?usp=sharing"",""สระแก้ว!I324"")"),24.0)</f>
        <v>24</v>
      </c>
      <c r="J429" s="427">
        <f>IFERROR(__xludf.DUMMYFUNCTION("IMPORTRANGE(""https://docs.google.com/spreadsheets/d/1SX6NBoVAgQJ6U1MVXOaj8PK2l7WJ3RER9xtqwdhxkhw/edit?usp=sharing"",""สระแก้ว!J324"")"),0.0)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IFERROR(__xludf.DUMMYFUNCTION("IMPORTRANGE(""https://docs.google.com/spreadsheets/d/1SX6NBoVAgQJ6U1MVXOaj8PK2l7WJ3RER9xtqwdhxkhw/edit?usp=sharing"",""สระแก้ว!I325"")"),41.0)</f>
        <v>41</v>
      </c>
      <c r="J430" s="425">
        <f>IFERROR(__xludf.DUMMYFUNCTION("IMPORTRANGE(""https://docs.google.com/spreadsheets/d/1SX6NBoVAgQJ6U1MVXOaj8PK2l7WJ3RER9xtqwdhxkhw/edit?usp=sharing"",""สระแก้ว!J325"")"),0.0)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IFERROR(__xludf.DUMMYFUNCTION("IMPORTRANGE(""https://docs.google.com/spreadsheets/d/1SX6NBoVAgQJ6U1MVXOaj8PK2l7WJ3RER9xtqwdhxkhw/edit?usp=sharing"",""สระแก้ว!I326"")"),15.0)</f>
        <v>15</v>
      </c>
      <c r="J431" s="427">
        <f>IFERROR(__xludf.DUMMYFUNCTION("IMPORTRANGE(""https://docs.google.com/spreadsheets/d/1SX6NBoVAgQJ6U1MVXOaj8PK2l7WJ3RER9xtqwdhxkhw/edit?usp=sharing"",""สระแก้ว!J326"")"),0.0)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IFERROR(__xludf.DUMMYFUNCTION("IMPORTRANGE(""https://docs.google.com/spreadsheets/d/1SX6NBoVAgQJ6U1MVXOaj8PK2l7WJ3RER9xtqwdhxkhw/edit?usp=sharing"",""สระแก้ว!I327"")"),26.0)</f>
        <v>26</v>
      </c>
      <c r="J432" s="427">
        <f>IFERROR(__xludf.DUMMYFUNCTION("IMPORTRANGE(""https://docs.google.com/spreadsheets/d/1SX6NBoVAgQJ6U1MVXOaj8PK2l7WJ3RER9xtqwdhxkhw/edit?usp=sharing"",""สระแก้ว!J327"")"),0.0)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IFERROR(__xludf.DUMMYFUNCTION("IMPORTRANGE(""https://docs.google.com/spreadsheets/d/1SX6NBoVAgQJ6U1MVXOaj8PK2l7WJ3RER9xtqwdhxkhw/edit?usp=sharing"",""สระแก้ว!J328"")"),0.0)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IFERROR(__xludf.DUMMYFUNCTION("IMPORTRANGE(""https://docs.google.com/spreadsheets/d/1SX6NBoVAgQJ6U1MVXOaj8PK2l7WJ3RER9xtqwdhxkhw/edit?usp=sharing"",""สระแก้ว!J329"")"),0.0)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IFERROR(__xludf.DUMMYFUNCTION("IMPORTRANGE(""https://docs.google.com/spreadsheets/d/1SX6NBoVAgQJ6U1MVXOaj8PK2l7WJ3RER9xtqwdhxkhw/edit?usp=sharing"",""สระแก้ว!I330"")"),15.0)</f>
        <v>15</v>
      </c>
      <c r="J435" s="443">
        <f>IFERROR(__xludf.DUMMYFUNCTION("IMPORTRANGE(""https://docs.google.com/spreadsheets/d/1SX6NBoVAgQJ6U1MVXOaj8PK2l7WJ3RER9xtqwdhxkhw/edit?usp=sharing"",""สระแก้ว!J330"")"),15.0)</f>
        <v>15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IFERROR(__xludf.DUMMYFUNCTION("IMPORTRANGE(""https://docs.google.com/spreadsheets/d/1SX6NBoVAgQJ6U1MVXOaj8PK2l7WJ3RER9xtqwdhxkhw/edit?usp=sharing"",""สระแก้ว!L330"")"),83000.0)</f>
        <v>83000</v>
      </c>
      <c r="M435" s="445"/>
      <c r="N435" s="445">
        <f>IFERROR(__xludf.DUMMYFUNCTION("IMPORTRANGE(""https://docs.google.com/spreadsheets/d/1SX6NBoVAgQJ6U1MVXOaj8PK2l7WJ3RER9xtqwdhxkhw/edit?usp=sharing"",""สระแก้ว!M330"")"),43300.0)</f>
        <v>43300</v>
      </c>
      <c r="O435" s="445">
        <f t="shared" ref="O435:O439" si="115">+IF(L435&gt;0,N435*100/L435,0)</f>
        <v>52.1686747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IFERROR(__xludf.DUMMYFUNCTION("IMPORTRANGE(""https://docs.google.com/spreadsheets/d/1SX6NBoVAgQJ6U1MVXOaj8PK2l7WJ3RER9xtqwdhxkhw/edit?usp=sharing"",""สระแก้ว!L331"")"),0.0)</f>
        <v>0</v>
      </c>
      <c r="M436" s="197"/>
      <c r="N436" s="203">
        <f>IFERROR(__xludf.DUMMYFUNCTION("IMPORTRANGE(""https://docs.google.com/spreadsheets/d/1SX6NBoVAgQJ6U1MVXOaj8PK2l7WJ3RER9xtqwdhxkhw/edit?usp=sharing"",""สระแก้ว!M331"")"),0.0)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IFERROR(__xludf.DUMMYFUNCTION("IMPORTRANGE(""https://docs.google.com/spreadsheets/d/1SX6NBoVAgQJ6U1MVXOaj8PK2l7WJ3RER9xtqwdhxkhw/edit?usp=sharing"",""สระแก้ว!L332"")"),83000.0)</f>
        <v>83000</v>
      </c>
      <c r="M437" s="198"/>
      <c r="N437" s="203">
        <f>IFERROR(__xludf.DUMMYFUNCTION("IMPORTRANGE(""https://docs.google.com/spreadsheets/d/1SX6NBoVAgQJ6U1MVXOaj8PK2l7WJ3RER9xtqwdhxkhw/edit?usp=sharing"",""สระแก้ว!M332"")"),43300.0)</f>
        <v>43300</v>
      </c>
      <c r="O437" s="203">
        <f t="shared" si="115"/>
        <v>52.1686747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IFERROR(__xludf.DUMMYFUNCTION("IMPORTRANGE(""https://docs.google.com/spreadsheets/d/1SX6NBoVAgQJ6U1MVXOaj8PK2l7WJ3RER9xtqwdhxkhw/edit?usp=sharing"",""สระแก้ว!L333"")"),0.0)</f>
        <v>0</v>
      </c>
      <c r="M438" s="203"/>
      <c r="N438" s="203">
        <f>IFERROR(__xludf.DUMMYFUNCTION("IMPORTRANGE(""https://docs.google.com/spreadsheets/d/1SX6NBoVAgQJ6U1MVXOaj8PK2l7WJ3RER9xtqwdhxkhw/edit?usp=sharing"",""สระแก้ว!M333"")"),0.0)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IFERROR(__xludf.DUMMYFUNCTION("IMPORTRANGE(""https://docs.google.com/spreadsheets/d/1SX6NBoVAgQJ6U1MVXOaj8PK2l7WJ3RER9xtqwdhxkhw/edit?usp=sharing"",""สระแก้ว!L334"")"),83000.0)</f>
        <v>83000</v>
      </c>
      <c r="M439" s="203"/>
      <c r="N439" s="203">
        <f>IFERROR(__xludf.DUMMYFUNCTION("IMPORTRANGE(""https://docs.google.com/spreadsheets/d/1SX6NBoVAgQJ6U1MVXOaj8PK2l7WJ3RER9xtqwdhxkhw/edit?usp=sharing"",""สระแก้ว!M334"")"),43300.0)</f>
        <v>43300</v>
      </c>
      <c r="O439" s="203">
        <f t="shared" si="115"/>
        <v>52.1686747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IFERROR(__xludf.DUMMYFUNCTION("IMPORTRANGE(""https://docs.google.com/spreadsheets/d/1SX6NBoVAgQJ6U1MVXOaj8PK2l7WJ3RER9xtqwdhxkhw/edit?usp=sharing"",""สระแก้ว!M335"")"),32200.0)</f>
        <v>32200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IFERROR(__xludf.DUMMYFUNCTION("IMPORTRANGE(""https://docs.google.com/spreadsheets/d/1SX6NBoVAgQJ6U1MVXOaj8PK2l7WJ3RER9xtqwdhxkhw/edit?usp=sharing"",""สระแก้ว!M336"")"),0.0)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IFERROR(__xludf.DUMMYFUNCTION("IMPORTRANGE(""https://docs.google.com/spreadsheets/d/1SX6NBoVAgQJ6U1MVXOaj8PK2l7WJ3RER9xtqwdhxkhw/edit?usp=sharing"",""สระแก้ว!M337"")"),0.0)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IFERROR(__xludf.DUMMYFUNCTION("IMPORTRANGE(""https://docs.google.com/spreadsheets/d/1SX6NBoVAgQJ6U1MVXOaj8PK2l7WJ3RER9xtqwdhxkhw/edit?usp=sharing"",""สระแก้ว!M338"")"),11100.0)</f>
        <v>11100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IFERROR(__xludf.DUMMYFUNCTION("IMPORTRANGE(""https://docs.google.com/spreadsheets/d/1SX6NBoVAgQJ6U1MVXOaj8PK2l7WJ3RER9xtqwdhxkhw/edit?usp=sharing"",""สระแก้ว!J340"")"),0.0)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IFERROR(__xludf.DUMMYFUNCTION("IMPORTRANGE(""https://docs.google.com/spreadsheets/d/1SX6NBoVAgQJ6U1MVXOaj8PK2l7WJ3RER9xtqwdhxkhw/edit?usp=sharing"",""สระแก้ว!J341"")"),1.0)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IFERROR(__xludf.DUMMYFUNCTION("IMPORTRANGE(""https://docs.google.com/spreadsheets/d/1SX6NBoVAgQJ6U1MVXOaj8PK2l7WJ3RER9xtqwdhxkhw/edit?usp=sharing"",""สระแก้ว!J342"")"),1.0)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IFERROR(__xludf.DUMMYFUNCTION("IMPORTRANGE(""https://docs.google.com/spreadsheets/d/1SX6NBoVAgQJ6U1MVXOaj8PK2l7WJ3RER9xtqwdhxkhw/edit?usp=sharing"",""สระแก้ว!J343"")"),1.0)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IFERROR(__xludf.DUMMYFUNCTION("IMPORTRANGE(""https://docs.google.com/spreadsheets/d/1SX6NBoVAgQJ6U1MVXOaj8PK2l7WJ3RER9xtqwdhxkhw/edit?usp=sharing"",""สระแก้ว!I344"")"),15.0)</f>
        <v>15</v>
      </c>
      <c r="J449" s="235">
        <f>IFERROR(__xludf.DUMMYFUNCTION("IMPORTRANGE(""https://docs.google.com/spreadsheets/d/1SX6NBoVAgQJ6U1MVXOaj8PK2l7WJ3RER9xtqwdhxkhw/edit?usp=sharing"",""สระแก้ว!J344"")"),15.0)</f>
        <v>15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IFERROR(__xludf.DUMMYFUNCTION("IMPORTRANGE(""https://docs.google.com/spreadsheets/d/1SX6NBoVAgQJ6U1MVXOaj8PK2l7WJ3RER9xtqwdhxkhw/edit?usp=sharing"",""สระแก้ว!I345"")"),15.0)</f>
        <v>15</v>
      </c>
      <c r="J450" s="223">
        <f>IFERROR(__xludf.DUMMYFUNCTION("IMPORTRANGE(""https://docs.google.com/spreadsheets/d/1SX6NBoVAgQJ6U1MVXOaj8PK2l7WJ3RER9xtqwdhxkhw/edit?usp=sharing"",""สระแก้ว!J345"")"),15.0)</f>
        <v>15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IFERROR(__xludf.DUMMYFUNCTION("IMPORTRANGE(""https://docs.google.com/spreadsheets/d/1SX6NBoVAgQJ6U1MVXOaj8PK2l7WJ3RER9xtqwdhxkhw/edit?usp=sharing"",""สระแก้ว!I346"")"),0.0)</f>
        <v>0</v>
      </c>
      <c r="J451" s="222">
        <f>IFERROR(__xludf.DUMMYFUNCTION("IMPORTRANGE(""https://docs.google.com/spreadsheets/d/1SX6NBoVAgQJ6U1MVXOaj8PK2l7WJ3RER9xtqwdhxkhw/edit?usp=sharing"",""สระแก้ว!J346"")"),0.0)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IFERROR(__xludf.DUMMYFUNCTION("IMPORTRANGE(""https://docs.google.com/spreadsheets/d/1SX6NBoVAgQJ6U1MVXOaj8PK2l7WJ3RER9xtqwdhxkhw/edit?usp=sharing"",""สระแก้ว!I347"")"),0.0)</f>
        <v>0</v>
      </c>
      <c r="J452" s="222">
        <f>IFERROR(__xludf.DUMMYFUNCTION("IMPORTRANGE(""https://docs.google.com/spreadsheets/d/1SX6NBoVAgQJ6U1MVXOaj8PK2l7WJ3RER9xtqwdhxkhw/edit?usp=sharing"",""สระแก้ว!J347"")"),0.0)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IFERROR(__xludf.DUMMYFUNCTION("IMPORTRANGE(""https://docs.google.com/spreadsheets/d/1SX6NBoVAgQJ6U1MVXOaj8PK2l7WJ3RER9xtqwdhxkhw/edit?usp=sharing"",""สระแก้ว!J348"")"),0.0)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IFERROR(__xludf.DUMMYFUNCTION("IMPORTRANGE(""https://docs.google.com/spreadsheets/d/1SX6NBoVAgQJ6U1MVXOaj8PK2l7WJ3RER9xtqwdhxkhw/edit?usp=sharing"",""สระแก้ว!J349"")"),0.0)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IFERROR(__xludf.DUMMYFUNCTION("IMPORTRANGE(""https://docs.google.com/spreadsheets/d/1SX6NBoVAgQJ6U1MVXOaj8PK2l7WJ3RER9xtqwdhxkhw/edit?usp=sharing"",""สระแก้ว!I350"")"),60509.0)</f>
        <v>60509</v>
      </c>
      <c r="J455" s="404">
        <f>IFERROR(__xludf.DUMMYFUNCTION("IMPORTRANGE(""https://docs.google.com/spreadsheets/d/1SX6NBoVAgQJ6U1MVXOaj8PK2l7WJ3RER9xtqwdhxkhw/edit?usp=sharing"",""สระแก้ว!J350"")"),0.0)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IFERROR(__xludf.DUMMYFUNCTION("IMPORTRANGE(""https://docs.google.com/spreadsheets/d/1SX6NBoVAgQJ6U1MVXOaj8PK2l7WJ3RER9xtqwdhxkhw/edit?usp=sharing"",""สระแก้ว!L350"")"),1071935.0)</f>
        <v>1071935</v>
      </c>
      <c r="M455" s="406"/>
      <c r="N455" s="406">
        <f>IFERROR(__xludf.DUMMYFUNCTION("IMPORTRANGE(""https://docs.google.com/spreadsheets/d/1SX6NBoVAgQJ6U1MVXOaj8PK2l7WJ3RER9xtqwdhxkhw/edit?usp=sharing"",""สระแก้ว!M350"")"),63575.58)</f>
        <v>63575.58</v>
      </c>
      <c r="O455" s="406">
        <f t="shared" ref="O455:O459" si="117">+IF(L455&gt;0,N455*100/L455,0)</f>
        <v>5.930917453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IFERROR(__xludf.DUMMYFUNCTION("IMPORTRANGE(""https://docs.google.com/spreadsheets/d/1SX6NBoVAgQJ6U1MVXOaj8PK2l7WJ3RER9xtqwdhxkhw/edit?usp=sharing"",""สระแก้ว!L351"")"),0.0)</f>
        <v>0</v>
      </c>
      <c r="M456" s="197"/>
      <c r="N456" s="203">
        <f>IFERROR(__xludf.DUMMYFUNCTION("IMPORTRANGE(""https://docs.google.com/spreadsheets/d/1SX6NBoVAgQJ6U1MVXOaj8PK2l7WJ3RER9xtqwdhxkhw/edit?usp=sharing"",""สระแก้ว!M351"")"),0.0)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IFERROR(__xludf.DUMMYFUNCTION("IMPORTRANGE(""https://docs.google.com/spreadsheets/d/1SX6NBoVAgQJ6U1MVXOaj8PK2l7WJ3RER9xtqwdhxkhw/edit?usp=sharing"",""สระแก้ว!L352"")"),1071935.0)</f>
        <v>1071935</v>
      </c>
      <c r="M457" s="198"/>
      <c r="N457" s="203">
        <f>IFERROR(__xludf.DUMMYFUNCTION("IMPORTRANGE(""https://docs.google.com/spreadsheets/d/1SX6NBoVAgQJ6U1MVXOaj8PK2l7WJ3RER9xtqwdhxkhw/edit?usp=sharing"",""สระแก้ว!M352"")"),63575.58)</f>
        <v>63575.58</v>
      </c>
      <c r="O457" s="203">
        <f t="shared" si="117"/>
        <v>5.930917453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IFERROR(__xludf.DUMMYFUNCTION("IMPORTRANGE(""https://docs.google.com/spreadsheets/d/1SX6NBoVAgQJ6U1MVXOaj8PK2l7WJ3RER9xtqwdhxkhw/edit?usp=sharing"",""สระแก้ว!L353"")"),0.0)</f>
        <v>0</v>
      </c>
      <c r="M458" s="203"/>
      <c r="N458" s="203">
        <f>IFERROR(__xludf.DUMMYFUNCTION("IMPORTRANGE(""https://docs.google.com/spreadsheets/d/1SX6NBoVAgQJ6U1MVXOaj8PK2l7WJ3RER9xtqwdhxkhw/edit?usp=sharing"",""สระแก้ว!M353"")"),0.0)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IFERROR(__xludf.DUMMYFUNCTION("IMPORTRANGE(""https://docs.google.com/spreadsheets/d/1SX6NBoVAgQJ6U1MVXOaj8PK2l7WJ3RER9xtqwdhxkhw/edit?usp=sharing"",""สระแก้ว!L354"")"),1071935.0)</f>
        <v>1071935</v>
      </c>
      <c r="M459" s="203"/>
      <c r="N459" s="203">
        <f>IFERROR(__xludf.DUMMYFUNCTION("IMPORTRANGE(""https://docs.google.com/spreadsheets/d/1SX6NBoVAgQJ6U1MVXOaj8PK2l7WJ3RER9xtqwdhxkhw/edit?usp=sharing"",""สระแก้ว!M354"")"),63575.58)</f>
        <v>63575.58</v>
      </c>
      <c r="O459" s="203">
        <f t="shared" si="117"/>
        <v>5.930917453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IFERROR(__xludf.DUMMYFUNCTION("IMPORTRANGE(""https://docs.google.com/spreadsheets/d/1SX6NBoVAgQJ6U1MVXOaj8PK2l7WJ3RER9xtqwdhxkhw/edit?usp=sharing"",""สระแก้ว!M355"")"),0.0)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IFERROR(__xludf.DUMMYFUNCTION("IMPORTRANGE(""https://docs.google.com/spreadsheets/d/1SX6NBoVAgQJ6U1MVXOaj8PK2l7WJ3RER9xtqwdhxkhw/edit?usp=sharing"",""สระแก้ว!M356"")"),0.0)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IFERROR(__xludf.DUMMYFUNCTION("IMPORTRANGE(""https://docs.google.com/spreadsheets/d/1SX6NBoVAgQJ6U1MVXOaj8PK2l7WJ3RER9xtqwdhxkhw/edit?usp=sharing"",""สระแก้ว!M357"")"),31225.58)</f>
        <v>31225.58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IFERROR(__xludf.DUMMYFUNCTION("IMPORTRANGE(""https://docs.google.com/spreadsheets/d/1SX6NBoVAgQJ6U1MVXOaj8PK2l7WJ3RER9xtqwdhxkhw/edit?usp=sharing"",""สระแก้ว!M358"")"),32350.0)</f>
        <v>32350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IFERROR(__xludf.DUMMYFUNCTION("IMPORTRANGE(""https://docs.google.com/spreadsheets/d/1SX6NBoVAgQJ6U1MVXOaj8PK2l7WJ3RER9xtqwdhxkhw/edit?usp=sharing"",""สระแก้ว!I359"")"),60509.0)</f>
        <v>60509</v>
      </c>
      <c r="J464" s="301">
        <f>IFERROR(__xludf.DUMMYFUNCTION("IMPORTRANGE(""https://docs.google.com/spreadsheets/d/1SX6NBoVAgQJ6U1MVXOaj8PK2l7WJ3RER9xtqwdhxkhw/edit?usp=sharing"",""สระแก้ว!J359"")"),0.0)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IFERROR(__xludf.DUMMYFUNCTION("IMPORTRANGE(""https://docs.google.com/spreadsheets/d/1SX6NBoVAgQJ6U1MVXOaj8PK2l7WJ3RER9xtqwdhxkhw/edit?usp=sharing"",""สระแก้ว!I360"")"),60509.0)</f>
        <v>60509</v>
      </c>
      <c r="J465" s="453">
        <f>IFERROR(__xludf.DUMMYFUNCTION("IMPORTRANGE(""https://docs.google.com/spreadsheets/d/1SX6NBoVAgQJ6U1MVXOaj8PK2l7WJ3RER9xtqwdhxkhw/edit?usp=sharing"",""สระแก้ว!J360"")"),28577.0)</f>
        <v>28577</v>
      </c>
      <c r="K465" s="236">
        <f t="shared" si="118"/>
        <v>47.22768514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IFERROR(__xludf.DUMMYFUNCTION("IMPORTRANGE(""https://docs.google.com/spreadsheets/d/1SX6NBoVAgQJ6U1MVXOaj8PK2l7WJ3RER9xtqwdhxkhw/edit?usp=sharing"",""สระแก้ว!I361"")"),7113.0)</f>
        <v>7113</v>
      </c>
      <c r="J466" s="453">
        <f>IFERROR(__xludf.DUMMYFUNCTION("IMPORTRANGE(""https://docs.google.com/spreadsheets/d/1SX6NBoVAgQJ6U1MVXOaj8PK2l7WJ3RER9xtqwdhxkhw/edit?usp=sharing"",""สระแก้ว!J361"")"),2085.0)</f>
        <v>2085</v>
      </c>
      <c r="K466" s="236">
        <f t="shared" si="118"/>
        <v>29.31252636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IFERROR(__xludf.DUMMYFUNCTION("IMPORTRANGE(""https://docs.google.com/spreadsheets/d/1SX6NBoVAgQJ6U1MVXOaj8PK2l7WJ3RER9xtqwdhxkhw/edit?usp=sharing"",""สระแก้ว!I362"")"),0.0)</f>
        <v>0</v>
      </c>
      <c r="J467" s="223">
        <f>IFERROR(__xludf.DUMMYFUNCTION("IMPORTRANGE(""https://docs.google.com/spreadsheets/d/1SX6NBoVAgQJ6U1MVXOaj8PK2l7WJ3RER9xtqwdhxkhw/edit?usp=sharing"",""สระแก้ว!J362"")"),22397.0)</f>
        <v>22397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IFERROR(__xludf.DUMMYFUNCTION("IMPORTRANGE(""https://docs.google.com/spreadsheets/d/1SX6NBoVAgQJ6U1MVXOaj8PK2l7WJ3RER9xtqwdhxkhw/edit?usp=sharing"",""สระแก้ว!I363"")"),0.0)</f>
        <v>0</v>
      </c>
      <c r="J468" s="223">
        <f>IFERROR(__xludf.DUMMYFUNCTION("IMPORTRANGE(""https://docs.google.com/spreadsheets/d/1SX6NBoVAgQJ6U1MVXOaj8PK2l7WJ3RER9xtqwdhxkhw/edit?usp=sharing"",""สระแก้ว!J363"")"),1747.0)</f>
        <v>1747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IFERROR(__xludf.DUMMYFUNCTION("IMPORTRANGE(""https://docs.google.com/spreadsheets/d/1SX6NBoVAgQJ6U1MVXOaj8PK2l7WJ3RER9xtqwdhxkhw/edit?usp=sharing"",""สระแก้ว!I364"")"),0.0)</f>
        <v>0</v>
      </c>
      <c r="J469" s="223">
        <f>IFERROR(__xludf.DUMMYFUNCTION("IMPORTRANGE(""https://docs.google.com/spreadsheets/d/1SX6NBoVAgQJ6U1MVXOaj8PK2l7WJ3RER9xtqwdhxkhw/edit?usp=sharing"",""สระแก้ว!J364"")"),5053.0)</f>
        <v>5053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IFERROR(__xludf.DUMMYFUNCTION("IMPORTRANGE(""https://docs.google.com/spreadsheets/d/1SX6NBoVAgQJ6U1MVXOaj8PK2l7WJ3RER9xtqwdhxkhw/edit?usp=sharing"",""สระแก้ว!I365"")"),0.0)</f>
        <v>0</v>
      </c>
      <c r="J470" s="223">
        <f>IFERROR(__xludf.DUMMYFUNCTION("IMPORTRANGE(""https://docs.google.com/spreadsheets/d/1SX6NBoVAgQJ6U1MVXOaj8PK2l7WJ3RER9xtqwdhxkhw/edit?usp=sharing"",""สระแก้ว!J365"")"),288.0)</f>
        <v>288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IFERROR(__xludf.DUMMYFUNCTION("IMPORTRANGE(""https://docs.google.com/spreadsheets/d/1SX6NBoVAgQJ6U1MVXOaj8PK2l7WJ3RER9xtqwdhxkhw/edit?usp=sharing"",""สระแก้ว!I366"")"),0.0)</f>
        <v>0</v>
      </c>
      <c r="J471" s="223">
        <f>IFERROR(__xludf.DUMMYFUNCTION("IMPORTRANGE(""https://docs.google.com/spreadsheets/d/1SX6NBoVAgQJ6U1MVXOaj8PK2l7WJ3RER9xtqwdhxkhw/edit?usp=sharing"",""สระแก้ว!J366"")"),1127.0)</f>
        <v>1127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IFERROR(__xludf.DUMMYFUNCTION("IMPORTRANGE(""https://docs.google.com/spreadsheets/d/1SX6NBoVAgQJ6U1MVXOaj8PK2l7WJ3RER9xtqwdhxkhw/edit?usp=sharing"",""สระแก้ว!I367"")"),0.0)</f>
        <v>0</v>
      </c>
      <c r="J472" s="223">
        <f>IFERROR(__xludf.DUMMYFUNCTION("IMPORTRANGE(""https://docs.google.com/spreadsheets/d/1SX6NBoVAgQJ6U1MVXOaj8PK2l7WJ3RER9xtqwdhxkhw/edit?usp=sharing"",""สระแก้ว!J367"")"),50.0)</f>
        <v>50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IFERROR(__xludf.DUMMYFUNCTION("IMPORTRANGE(""https://docs.google.com/spreadsheets/d/1SX6NBoVAgQJ6U1MVXOaj8PK2l7WJ3RER9xtqwdhxkhw/edit?usp=sharing"",""สระแก้ว!I368"")"),60509.0)</f>
        <v>60509</v>
      </c>
      <c r="J473" s="453">
        <f>IFERROR(__xludf.DUMMYFUNCTION("IMPORTRANGE(""https://docs.google.com/spreadsheets/d/1SX6NBoVAgQJ6U1MVXOaj8PK2l7WJ3RER9xtqwdhxkhw/edit?usp=sharing"",""สระแก้ว!J368"")"),0.0)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IFERROR(__xludf.DUMMYFUNCTION("IMPORTRANGE(""https://docs.google.com/spreadsheets/d/1SX6NBoVAgQJ6U1MVXOaj8PK2l7WJ3RER9xtqwdhxkhw/edit?usp=sharing"",""สระแก้ว!I369"")"),7113.0)</f>
        <v>7113</v>
      </c>
      <c r="J474" s="453">
        <f>IFERROR(__xludf.DUMMYFUNCTION("IMPORTRANGE(""https://docs.google.com/spreadsheets/d/1SX6NBoVAgQJ6U1MVXOaj8PK2l7WJ3RER9xtqwdhxkhw/edit?usp=sharing"",""สระแก้ว!J369"")"),0.0)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IFERROR(__xludf.DUMMYFUNCTION("IMPORTRANGE(""https://docs.google.com/spreadsheets/d/1SX6NBoVAgQJ6U1MVXOaj8PK2l7WJ3RER9xtqwdhxkhw/edit?usp=sharing"",""สระแก้ว!I370"")"),0.0)</f>
        <v>0</v>
      </c>
      <c r="J475" s="223">
        <f>IFERROR(__xludf.DUMMYFUNCTION("IMPORTRANGE(""https://docs.google.com/spreadsheets/d/1SX6NBoVAgQJ6U1MVXOaj8PK2l7WJ3RER9xtqwdhxkhw/edit?usp=sharing"",""สระแก้ว!J370"")"),0.0)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IFERROR(__xludf.DUMMYFUNCTION("IMPORTRANGE(""https://docs.google.com/spreadsheets/d/1SX6NBoVAgQJ6U1MVXOaj8PK2l7WJ3RER9xtqwdhxkhw/edit?usp=sharing"",""สระแก้ว!I371"")"),0.0)</f>
        <v>0</v>
      </c>
      <c r="J476" s="223">
        <f>IFERROR(__xludf.DUMMYFUNCTION("IMPORTRANGE(""https://docs.google.com/spreadsheets/d/1SX6NBoVAgQJ6U1MVXOaj8PK2l7WJ3RER9xtqwdhxkhw/edit?usp=sharing"",""สระแก้ว!J371"")"),0.0)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IFERROR(__xludf.DUMMYFUNCTION("IMPORTRANGE(""https://docs.google.com/spreadsheets/d/1SX6NBoVAgQJ6U1MVXOaj8PK2l7WJ3RER9xtqwdhxkhw/edit?usp=sharing"",""สระแก้ว!I372"")"),0.0)</f>
        <v>0</v>
      </c>
      <c r="J477" s="223">
        <f>IFERROR(__xludf.DUMMYFUNCTION("IMPORTRANGE(""https://docs.google.com/spreadsheets/d/1SX6NBoVAgQJ6U1MVXOaj8PK2l7WJ3RER9xtqwdhxkhw/edit?usp=sharing"",""สระแก้ว!J372"")"),0.0)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IFERROR(__xludf.DUMMYFUNCTION("IMPORTRANGE(""https://docs.google.com/spreadsheets/d/1SX6NBoVAgQJ6U1MVXOaj8PK2l7WJ3RER9xtqwdhxkhw/edit?usp=sharing"",""สระแก้ว!I373"")"),0.0)</f>
        <v>0</v>
      </c>
      <c r="J478" s="223">
        <f>IFERROR(__xludf.DUMMYFUNCTION("IMPORTRANGE(""https://docs.google.com/spreadsheets/d/1SX6NBoVAgQJ6U1MVXOaj8PK2l7WJ3RER9xtqwdhxkhw/edit?usp=sharing"",""สระแก้ว!J373"")"),0.0)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IFERROR(__xludf.DUMMYFUNCTION("IMPORTRANGE(""https://docs.google.com/spreadsheets/d/1SX6NBoVAgQJ6U1MVXOaj8PK2l7WJ3RER9xtqwdhxkhw/edit?usp=sharing"",""สระแก้ว!I374"")"),0.0)</f>
        <v>0</v>
      </c>
      <c r="J479" s="223">
        <f>IFERROR(__xludf.DUMMYFUNCTION("IMPORTRANGE(""https://docs.google.com/spreadsheets/d/1SX6NBoVAgQJ6U1MVXOaj8PK2l7WJ3RER9xtqwdhxkhw/edit?usp=sharing"",""สระแก้ว!J374"")"),0.0)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IFERROR(__xludf.DUMMYFUNCTION("IMPORTRANGE(""https://docs.google.com/spreadsheets/d/1SX6NBoVAgQJ6U1MVXOaj8PK2l7WJ3RER9xtqwdhxkhw/edit?usp=sharing"",""สระแก้ว!I375"")"),0.0)</f>
        <v>0</v>
      </c>
      <c r="J480" s="223">
        <f>IFERROR(__xludf.DUMMYFUNCTION("IMPORTRANGE(""https://docs.google.com/spreadsheets/d/1SX6NBoVAgQJ6U1MVXOaj8PK2l7WJ3RER9xtqwdhxkhw/edit?usp=sharing"",""สระแก้ว!J375"")"),0.0)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IFERROR(__xludf.DUMMYFUNCTION("IMPORTRANGE(""https://docs.google.com/spreadsheets/d/1SX6NBoVAgQJ6U1MVXOaj8PK2l7WJ3RER9xtqwdhxkhw/edit?usp=sharing"",""สระแก้ว!I376"")"),60509.0)</f>
        <v>60509</v>
      </c>
      <c r="J481" s="453">
        <f>IFERROR(__xludf.DUMMYFUNCTION("IMPORTRANGE(""https://docs.google.com/spreadsheets/d/1SX6NBoVAgQJ6U1MVXOaj8PK2l7WJ3RER9xtqwdhxkhw/edit?usp=sharing"",""สระแก้ว!J376"")"),0.0)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IFERROR(__xludf.DUMMYFUNCTION("IMPORTRANGE(""https://docs.google.com/spreadsheets/d/1SX6NBoVAgQJ6U1MVXOaj8PK2l7WJ3RER9xtqwdhxkhw/edit?usp=sharing"",""สระแก้ว!I377"")"),7113.0)</f>
        <v>7113</v>
      </c>
      <c r="J482" s="453">
        <f>IFERROR(__xludf.DUMMYFUNCTION("IMPORTRANGE(""https://docs.google.com/spreadsheets/d/1SX6NBoVAgQJ6U1MVXOaj8PK2l7WJ3RER9xtqwdhxkhw/edit?usp=sharing"",""สระแก้ว!J377"")"),0.0)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IFERROR(__xludf.DUMMYFUNCTION("IMPORTRANGE(""https://docs.google.com/spreadsheets/d/1SX6NBoVAgQJ6U1MVXOaj8PK2l7WJ3RER9xtqwdhxkhw/edit?usp=sharing"",""สระแก้ว!I378"")"),0.0)</f>
        <v>0</v>
      </c>
      <c r="J483" s="223">
        <f>IFERROR(__xludf.DUMMYFUNCTION("IMPORTRANGE(""https://docs.google.com/spreadsheets/d/1SX6NBoVAgQJ6U1MVXOaj8PK2l7WJ3RER9xtqwdhxkhw/edit?usp=sharing"",""สระแก้ว!J378"")"),0.0)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IFERROR(__xludf.DUMMYFUNCTION("IMPORTRANGE(""https://docs.google.com/spreadsheets/d/1SX6NBoVAgQJ6U1MVXOaj8PK2l7WJ3RER9xtqwdhxkhw/edit?usp=sharing"",""สระแก้ว!I379"")"),0.0)</f>
        <v>0</v>
      </c>
      <c r="J484" s="223">
        <f>IFERROR(__xludf.DUMMYFUNCTION("IMPORTRANGE(""https://docs.google.com/spreadsheets/d/1SX6NBoVAgQJ6U1MVXOaj8PK2l7WJ3RER9xtqwdhxkhw/edit?usp=sharing"",""สระแก้ว!J379"")"),0.0)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IFERROR(__xludf.DUMMYFUNCTION("IMPORTRANGE(""https://docs.google.com/spreadsheets/d/1SX6NBoVAgQJ6U1MVXOaj8PK2l7WJ3RER9xtqwdhxkhw/edit?usp=sharing"",""สระแก้ว!I380"")"),0.0)</f>
        <v>0</v>
      </c>
      <c r="J485" s="223">
        <f>IFERROR(__xludf.DUMMYFUNCTION("IMPORTRANGE(""https://docs.google.com/spreadsheets/d/1SX6NBoVAgQJ6U1MVXOaj8PK2l7WJ3RER9xtqwdhxkhw/edit?usp=sharing"",""สระแก้ว!J380"")"),0.0)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IFERROR(__xludf.DUMMYFUNCTION("IMPORTRANGE(""https://docs.google.com/spreadsheets/d/1SX6NBoVAgQJ6U1MVXOaj8PK2l7WJ3RER9xtqwdhxkhw/edit?usp=sharing"",""สระแก้ว!I381"")"),0.0)</f>
        <v>0</v>
      </c>
      <c r="J486" s="223">
        <f>IFERROR(__xludf.DUMMYFUNCTION("IMPORTRANGE(""https://docs.google.com/spreadsheets/d/1SX6NBoVAgQJ6U1MVXOaj8PK2l7WJ3RER9xtqwdhxkhw/edit?usp=sharing"",""สระแก้ว!J381"")"),0.0)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IFERROR(__xludf.DUMMYFUNCTION("IMPORTRANGE(""https://docs.google.com/spreadsheets/d/1SX6NBoVAgQJ6U1MVXOaj8PK2l7WJ3RER9xtqwdhxkhw/edit?usp=sharing"",""สระแก้ว!I382"")"),0.0)</f>
        <v>0</v>
      </c>
      <c r="J487" s="453">
        <f>IFERROR(__xludf.DUMMYFUNCTION("IMPORTRANGE(""https://docs.google.com/spreadsheets/d/1SX6NBoVAgQJ6U1MVXOaj8PK2l7WJ3RER9xtqwdhxkhw/edit?usp=sharing"",""สระแก้ว!J382"")"),0.0)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IFERROR(__xludf.DUMMYFUNCTION("IMPORTRANGE(""https://docs.google.com/spreadsheets/d/1SX6NBoVAgQJ6U1MVXOaj8PK2l7WJ3RER9xtqwdhxkhw/edit?usp=sharing"",""สระแก้ว!I383"")"),0.0)</f>
        <v>0</v>
      </c>
      <c r="J488" s="453">
        <f>IFERROR(__xludf.DUMMYFUNCTION("IMPORTRANGE(""https://docs.google.com/spreadsheets/d/1SX6NBoVAgQJ6U1MVXOaj8PK2l7WJ3RER9xtqwdhxkhw/edit?usp=sharing"",""สระแก้ว!J383"")"),0.0)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IFERROR(__xludf.DUMMYFUNCTION("IMPORTRANGE(""https://docs.google.com/spreadsheets/d/1SX6NBoVAgQJ6U1MVXOaj8PK2l7WJ3RER9xtqwdhxkhw/edit?usp=sharing"",""สระแก้ว!I384"")"),0.0)</f>
        <v>0</v>
      </c>
      <c r="J489" s="223">
        <f>IFERROR(__xludf.DUMMYFUNCTION("IMPORTRANGE(""https://docs.google.com/spreadsheets/d/1SX6NBoVAgQJ6U1MVXOaj8PK2l7WJ3RER9xtqwdhxkhw/edit?usp=sharing"",""สระแก้ว!J384"")"),0.0)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IFERROR(__xludf.DUMMYFUNCTION("IMPORTRANGE(""https://docs.google.com/spreadsheets/d/1SX6NBoVAgQJ6U1MVXOaj8PK2l7WJ3RER9xtqwdhxkhw/edit?usp=sharing"",""สระแก้ว!I385"")"),0.0)</f>
        <v>0</v>
      </c>
      <c r="J490" s="223">
        <f>IFERROR(__xludf.DUMMYFUNCTION("IMPORTRANGE(""https://docs.google.com/spreadsheets/d/1SX6NBoVAgQJ6U1MVXOaj8PK2l7WJ3RER9xtqwdhxkhw/edit?usp=sharing"",""สระแก้ว!J385"")"),0.0)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IFERROR(__xludf.DUMMYFUNCTION("IMPORTRANGE(""https://docs.google.com/spreadsheets/d/1SX6NBoVAgQJ6U1MVXOaj8PK2l7WJ3RER9xtqwdhxkhw/edit?usp=sharing"",""สระแก้ว!I386"")"),0.0)</f>
        <v>0</v>
      </c>
      <c r="J491" s="223">
        <f>IFERROR(__xludf.DUMMYFUNCTION("IMPORTRANGE(""https://docs.google.com/spreadsheets/d/1SX6NBoVAgQJ6U1MVXOaj8PK2l7WJ3RER9xtqwdhxkhw/edit?usp=sharing"",""สระแก้ว!J386"")"),0.0)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IFERROR(__xludf.DUMMYFUNCTION("IMPORTRANGE(""https://docs.google.com/spreadsheets/d/1SX6NBoVAgQJ6U1MVXOaj8PK2l7WJ3RER9xtqwdhxkhw/edit?usp=sharing"",""สระแก้ว!I387"")"),0.0)</f>
        <v>0</v>
      </c>
      <c r="J492" s="223">
        <f>IFERROR(__xludf.DUMMYFUNCTION("IMPORTRANGE(""https://docs.google.com/spreadsheets/d/1SX6NBoVAgQJ6U1MVXOaj8PK2l7WJ3RER9xtqwdhxkhw/edit?usp=sharing"",""สระแก้ว!J387"")"),0.0)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IFERROR(__xludf.DUMMYFUNCTION("IMPORTRANGE(""https://docs.google.com/spreadsheets/d/1SX6NBoVAgQJ6U1MVXOaj8PK2l7WJ3RER9xtqwdhxkhw/edit?usp=sharing"",""สระแก้ว!I388"")"),0.0)</f>
        <v>0</v>
      </c>
      <c r="J493" s="223">
        <f>IFERROR(__xludf.DUMMYFUNCTION("IMPORTRANGE(""https://docs.google.com/spreadsheets/d/1SX6NBoVAgQJ6U1MVXOaj8PK2l7WJ3RER9xtqwdhxkhw/edit?usp=sharing"",""สระแก้ว!J388"")"),0.0)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IFERROR(__xludf.DUMMYFUNCTION("IMPORTRANGE(""https://docs.google.com/spreadsheets/d/1SX6NBoVAgQJ6U1MVXOaj8PK2l7WJ3RER9xtqwdhxkhw/edit?usp=sharing"",""สระแก้ว!I389"")"),0.0)</f>
        <v>0</v>
      </c>
      <c r="J494" s="469">
        <f>IFERROR(__xludf.DUMMYFUNCTION("IMPORTRANGE(""https://docs.google.com/spreadsheets/d/1SX6NBoVAgQJ6U1MVXOaj8PK2l7WJ3RER9xtqwdhxkhw/edit?usp=sharing"",""สระแก้ว!J389"")"),0.0)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IFERROR(__xludf.DUMMYFUNCTION("IMPORTRANGE(""https://docs.google.com/spreadsheets/d/1SX6NBoVAgQJ6U1MVXOaj8PK2l7WJ3RER9xtqwdhxkhw/edit?usp=sharing"",""สระแก้ว!I390"")"),0.0)</f>
        <v>0</v>
      </c>
      <c r="J495" s="469">
        <f>IFERROR(__xludf.DUMMYFUNCTION("IMPORTRANGE(""https://docs.google.com/spreadsheets/d/1SX6NBoVAgQJ6U1MVXOaj8PK2l7WJ3RER9xtqwdhxkhw/edit?usp=sharing"",""สระแก้ว!J390"")"),0.0)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IFERROR(__xludf.DUMMYFUNCTION("IMPORTRANGE(""https://docs.google.com/spreadsheets/d/1SX6NBoVAgQJ6U1MVXOaj8PK2l7WJ3RER9xtqwdhxkhw/edit?usp=sharing"",""สระแก้ว!I391"")"),0.0)</f>
        <v>0</v>
      </c>
      <c r="J496" s="469">
        <f>IFERROR(__xludf.DUMMYFUNCTION("IMPORTRANGE(""https://docs.google.com/spreadsheets/d/1SX6NBoVAgQJ6U1MVXOaj8PK2l7WJ3RER9xtqwdhxkhw/edit?usp=sharing"",""สระแก้ว!J391"")"),0.0)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IFERROR(__xludf.DUMMYFUNCTION("IMPORTRANGE(""https://docs.google.com/spreadsheets/d/1SX6NBoVAgQJ6U1MVXOaj8PK2l7WJ3RER9xtqwdhxkhw/edit?usp=sharing"",""สระแก้ว!I392"")"),29184.0)</f>
        <v>29184</v>
      </c>
      <c r="J497" s="476">
        <f>IFERROR(__xludf.DUMMYFUNCTION("IMPORTRANGE(""https://docs.google.com/spreadsheets/d/1SX6NBoVAgQJ6U1MVXOaj8PK2l7WJ3RER9xtqwdhxkhw/edit?usp=sharing"",""สระแก้ว!J392"")"),1416.0)</f>
        <v>1416</v>
      </c>
      <c r="K497" s="477">
        <f t="shared" si="118"/>
        <v>4.851973684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IFERROR(__xludf.DUMMYFUNCTION("IMPORTRANGE(""https://docs.google.com/spreadsheets/d/1SX6NBoVAgQJ6U1MVXOaj8PK2l7WJ3RER9xtqwdhxkhw/edit?usp=sharing"",""สระแก้ว!I393"")"),29184.0)</f>
        <v>29184</v>
      </c>
      <c r="J498" s="453">
        <f>IFERROR(__xludf.DUMMYFUNCTION("IMPORTRANGE(""https://docs.google.com/spreadsheets/d/1SX6NBoVAgQJ6U1MVXOaj8PK2l7WJ3RER9xtqwdhxkhw/edit?usp=sharing"",""สระแก้ว!J393"")"),1416.0)</f>
        <v>1416</v>
      </c>
      <c r="K498" s="196">
        <f t="shared" si="118"/>
        <v>4.851973684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IFERROR(__xludf.DUMMYFUNCTION("IMPORTRANGE(""https://docs.google.com/spreadsheets/d/1SX6NBoVAgQJ6U1MVXOaj8PK2l7WJ3RER9xtqwdhxkhw/edit?usp=sharing"",""สระแก้ว!I394"")"),1782.0)</f>
        <v>1782</v>
      </c>
      <c r="J499" s="453">
        <f>IFERROR(__xludf.DUMMYFUNCTION("IMPORTRANGE(""https://docs.google.com/spreadsheets/d/1SX6NBoVAgQJ6U1MVXOaj8PK2l7WJ3RER9xtqwdhxkhw/edit?usp=sharing"",""สระแก้ว!J394"")"),91.0)</f>
        <v>91</v>
      </c>
      <c r="K499" s="236">
        <f t="shared" si="118"/>
        <v>5.106621773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IFERROR(__xludf.DUMMYFUNCTION("IMPORTRANGE(""https://docs.google.com/spreadsheets/d/1SX6NBoVAgQJ6U1MVXOaj8PK2l7WJ3RER9xtqwdhxkhw/edit?usp=sharing"",""สระแก้ว!I395"")"),0.0)</f>
        <v>0</v>
      </c>
      <c r="J500" s="195">
        <f>IFERROR(__xludf.DUMMYFUNCTION("IMPORTRANGE(""https://docs.google.com/spreadsheets/d/1SX6NBoVAgQJ6U1MVXOaj8PK2l7WJ3RER9xtqwdhxkhw/edit?usp=sharing"",""สระแก้ว!J395"")"),1292.0)</f>
        <v>1292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IFERROR(__xludf.DUMMYFUNCTION("IMPORTRANGE(""https://docs.google.com/spreadsheets/d/1SX6NBoVAgQJ6U1MVXOaj8PK2l7WJ3RER9xtqwdhxkhw/edit?usp=sharing"",""สระแก้ว!I396"")"),0.0)</f>
        <v>0</v>
      </c>
      <c r="J501" s="195">
        <f>IFERROR(__xludf.DUMMYFUNCTION("IMPORTRANGE(""https://docs.google.com/spreadsheets/d/1SX6NBoVAgQJ6U1MVXOaj8PK2l7WJ3RER9xtqwdhxkhw/edit?usp=sharing"",""สระแก้ว!J396"")"),86.0)</f>
        <v>86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IFERROR(__xludf.DUMMYFUNCTION("IMPORTRANGE(""https://docs.google.com/spreadsheets/d/1SX6NBoVAgQJ6U1MVXOaj8PK2l7WJ3RER9xtqwdhxkhw/edit?usp=sharing"",""สระแก้ว!I397"")"),0.0)</f>
        <v>0</v>
      </c>
      <c r="J502" s="223">
        <f>IFERROR(__xludf.DUMMYFUNCTION("IMPORTRANGE(""https://docs.google.com/spreadsheets/d/1SX6NBoVAgQJ6U1MVXOaj8PK2l7WJ3RER9xtqwdhxkhw/edit?usp=sharing"",""สระแก้ว!J397"")"),1287.0)</f>
        <v>1287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IFERROR(__xludf.DUMMYFUNCTION("IMPORTRANGE(""https://docs.google.com/spreadsheets/d/1SX6NBoVAgQJ6U1MVXOaj8PK2l7WJ3RER9xtqwdhxkhw/edit?usp=sharing"",""สระแก้ว!I398"")"),0.0)</f>
        <v>0</v>
      </c>
      <c r="J503" s="232">
        <f>IFERROR(__xludf.DUMMYFUNCTION("IMPORTRANGE(""https://docs.google.com/spreadsheets/d/1SX6NBoVAgQJ6U1MVXOaj8PK2l7WJ3RER9xtqwdhxkhw/edit?usp=sharing"",""สระแก้ว!J398"")"),85.0)</f>
        <v>85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IFERROR(__xludf.DUMMYFUNCTION("IMPORTRANGE(""https://docs.google.com/spreadsheets/d/1SX6NBoVAgQJ6U1MVXOaj8PK2l7WJ3RER9xtqwdhxkhw/edit?usp=sharing"",""สระแก้ว!I399"")"),0.0)</f>
        <v>0</v>
      </c>
      <c r="J504" s="223">
        <f>IFERROR(__xludf.DUMMYFUNCTION("IMPORTRANGE(""https://docs.google.com/spreadsheets/d/1SX6NBoVAgQJ6U1MVXOaj8PK2l7WJ3RER9xtqwdhxkhw/edit?usp=sharing"",""สระแก้ว!J399"")"),5.0)</f>
        <v>5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IFERROR(__xludf.DUMMYFUNCTION("IMPORTRANGE(""https://docs.google.com/spreadsheets/d/1SX6NBoVAgQJ6U1MVXOaj8PK2l7WJ3RER9xtqwdhxkhw/edit?usp=sharing"",""สระแก้ว!I400"")"),0.0)</f>
        <v>0</v>
      </c>
      <c r="J505" s="232">
        <f>IFERROR(__xludf.DUMMYFUNCTION("IMPORTRANGE(""https://docs.google.com/spreadsheets/d/1SX6NBoVAgQJ6U1MVXOaj8PK2l7WJ3RER9xtqwdhxkhw/edit?usp=sharing"",""สระแก้ว!J400"")"),1.0)</f>
        <v>1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IFERROR(__xludf.DUMMYFUNCTION("IMPORTRANGE(""https://docs.google.com/spreadsheets/d/1SX6NBoVAgQJ6U1MVXOaj8PK2l7WJ3RER9xtqwdhxkhw/edit?usp=sharing"",""สระแก้ว!I401"")"),0.0)</f>
        <v>0</v>
      </c>
      <c r="J506" s="223">
        <f>IFERROR(__xludf.DUMMYFUNCTION("IMPORTRANGE(""https://docs.google.com/spreadsheets/d/1SX6NBoVAgQJ6U1MVXOaj8PK2l7WJ3RER9xtqwdhxkhw/edit?usp=sharing"",""สระแก้ว!J401"")"),0.0)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IFERROR(__xludf.DUMMYFUNCTION("IMPORTRANGE(""https://docs.google.com/spreadsheets/d/1SX6NBoVAgQJ6U1MVXOaj8PK2l7WJ3RER9xtqwdhxkhw/edit?usp=sharing"",""สระแก้ว!I402"")"),0.0)</f>
        <v>0</v>
      </c>
      <c r="J507" s="232">
        <f>IFERROR(__xludf.DUMMYFUNCTION("IMPORTRANGE(""https://docs.google.com/spreadsheets/d/1SX6NBoVAgQJ6U1MVXOaj8PK2l7WJ3RER9xtqwdhxkhw/edit?usp=sharing"",""สระแก้ว!J402"")"),0.0)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IFERROR(__xludf.DUMMYFUNCTION("IMPORTRANGE(""https://docs.google.com/spreadsheets/d/1SX6NBoVAgQJ6U1MVXOaj8PK2l7WJ3RER9xtqwdhxkhw/edit?usp=sharing"",""สระแก้ว!I403"")"),0.0)</f>
        <v>0</v>
      </c>
      <c r="J508" s="195">
        <f>IFERROR(__xludf.DUMMYFUNCTION("IMPORTRANGE(""https://docs.google.com/spreadsheets/d/1SX6NBoVAgQJ6U1MVXOaj8PK2l7WJ3RER9xtqwdhxkhw/edit?usp=sharing"",""สระแก้ว!J403"")"),124.0)</f>
        <v>124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IFERROR(__xludf.DUMMYFUNCTION("IMPORTRANGE(""https://docs.google.com/spreadsheets/d/1SX6NBoVAgQJ6U1MVXOaj8PK2l7WJ3RER9xtqwdhxkhw/edit?usp=sharing"",""สระแก้ว!I404"")"),0.0)</f>
        <v>0</v>
      </c>
      <c r="J509" s="195">
        <f>IFERROR(__xludf.DUMMYFUNCTION("IMPORTRANGE(""https://docs.google.com/spreadsheets/d/1SX6NBoVAgQJ6U1MVXOaj8PK2l7WJ3RER9xtqwdhxkhw/edit?usp=sharing"",""สระแก้ว!J404"")"),5.0)</f>
        <v>5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IFERROR(__xludf.DUMMYFUNCTION("IMPORTRANGE(""https://docs.google.com/spreadsheets/d/1SX6NBoVAgQJ6U1MVXOaj8PK2l7WJ3RER9xtqwdhxkhw/edit?usp=sharing"",""สระแก้ว!I405"")"),0.0)</f>
        <v>0</v>
      </c>
      <c r="J510" s="232">
        <f>IFERROR(__xludf.DUMMYFUNCTION("IMPORTRANGE(""https://docs.google.com/spreadsheets/d/1SX6NBoVAgQJ6U1MVXOaj8PK2l7WJ3RER9xtqwdhxkhw/edit?usp=sharing"",""สระแก้ว!J405"")"),124.0)</f>
        <v>124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IFERROR(__xludf.DUMMYFUNCTION("IMPORTRANGE(""https://docs.google.com/spreadsheets/d/1SX6NBoVAgQJ6U1MVXOaj8PK2l7WJ3RER9xtqwdhxkhw/edit?usp=sharing"",""สระแก้ว!I406"")"),0.0)</f>
        <v>0</v>
      </c>
      <c r="J511" s="232">
        <f>IFERROR(__xludf.DUMMYFUNCTION("IMPORTRANGE(""https://docs.google.com/spreadsheets/d/1SX6NBoVAgQJ6U1MVXOaj8PK2l7WJ3RER9xtqwdhxkhw/edit?usp=sharing"",""สระแก้ว!J406"")"),5.0)</f>
        <v>5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IFERROR(__xludf.DUMMYFUNCTION("IMPORTRANGE(""https://docs.google.com/spreadsheets/d/1SX6NBoVAgQJ6U1MVXOaj8PK2l7WJ3RER9xtqwdhxkhw/edit?usp=sharing"",""สระแก้ว!I407"")"),0.0)</f>
        <v>0</v>
      </c>
      <c r="J512" s="232">
        <f>IFERROR(__xludf.DUMMYFUNCTION("IMPORTRANGE(""https://docs.google.com/spreadsheets/d/1SX6NBoVAgQJ6U1MVXOaj8PK2l7WJ3RER9xtqwdhxkhw/edit?usp=sharing"",""สระแก้ว!J407"")"),0.0)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IFERROR(__xludf.DUMMYFUNCTION("IMPORTRANGE(""https://docs.google.com/spreadsheets/d/1SX6NBoVAgQJ6U1MVXOaj8PK2l7WJ3RER9xtqwdhxkhw/edit?usp=sharing"",""สระแก้ว!I408"")"),0.0)</f>
        <v>0</v>
      </c>
      <c r="J513" s="232">
        <f>IFERROR(__xludf.DUMMYFUNCTION("IMPORTRANGE(""https://docs.google.com/spreadsheets/d/1SX6NBoVAgQJ6U1MVXOaj8PK2l7WJ3RER9xtqwdhxkhw/edit?usp=sharing"",""สระแก้ว!J408"")"),0.0)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IFERROR(__xludf.DUMMYFUNCTION("IMPORTRANGE(""https://docs.google.com/spreadsheets/d/1SX6NBoVAgQJ6U1MVXOaj8PK2l7WJ3RER9xtqwdhxkhw/edit?usp=sharing"",""สระแก้ว!I409"")"),0.0)</f>
        <v>0</v>
      </c>
      <c r="J514" s="232">
        <f>IFERROR(__xludf.DUMMYFUNCTION("IMPORTRANGE(""https://docs.google.com/spreadsheets/d/1SX6NBoVAgQJ6U1MVXOaj8PK2l7WJ3RER9xtqwdhxkhw/edit?usp=sharing"",""สระแก้ว!J409"")"),0.0)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IFERROR(__xludf.DUMMYFUNCTION("IMPORTRANGE(""https://docs.google.com/spreadsheets/d/1SX6NBoVAgQJ6U1MVXOaj8PK2l7WJ3RER9xtqwdhxkhw/edit?usp=sharing"",""สระแก้ว!I410"")"),0.0)</f>
        <v>0</v>
      </c>
      <c r="J515" s="232">
        <f>IFERROR(__xludf.DUMMYFUNCTION("IMPORTRANGE(""https://docs.google.com/spreadsheets/d/1SX6NBoVAgQJ6U1MVXOaj8PK2l7WJ3RER9xtqwdhxkhw/edit?usp=sharing"",""สระแก้ว!J410"")"),0.0)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IFERROR(__xludf.DUMMYFUNCTION("IMPORTRANGE(""https://docs.google.com/spreadsheets/d/1SX6NBoVAgQJ6U1MVXOaj8PK2l7WJ3RER9xtqwdhxkhw/edit?usp=sharing"",""สระแก้ว!I411"")"),0.0)</f>
        <v>0</v>
      </c>
      <c r="J516" s="301">
        <f>IFERROR(__xludf.DUMMYFUNCTION("IMPORTRANGE(""https://docs.google.com/spreadsheets/d/1SX6NBoVAgQJ6U1MVXOaj8PK2l7WJ3RER9xtqwdhxkhw/edit?usp=sharing"",""สระแก้ว!J411"")"),0.0)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IFERROR(__xludf.DUMMYFUNCTION("IMPORTRANGE(""https://docs.google.com/spreadsheets/d/1SX6NBoVAgQJ6U1MVXOaj8PK2l7WJ3RER9xtqwdhxkhw/edit?usp=sharing"",""สระแก้ว!I412"")"),0.0)</f>
        <v>0</v>
      </c>
      <c r="J517" s="317">
        <f>IFERROR(__xludf.DUMMYFUNCTION("IMPORTRANGE(""https://docs.google.com/spreadsheets/d/1SX6NBoVAgQJ6U1MVXOaj8PK2l7WJ3RER9xtqwdhxkhw/edit?usp=sharing"",""สระแก้ว!J412"")"),0.0)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IFERROR(__xludf.DUMMYFUNCTION("IMPORTRANGE(""https://docs.google.com/spreadsheets/d/1SX6NBoVAgQJ6U1MVXOaj8PK2l7WJ3RER9xtqwdhxkhw/edit?usp=sharing"",""สระแก้ว!I413"")"),0.0)</f>
        <v>0</v>
      </c>
      <c r="J518" s="317">
        <f>IFERROR(__xludf.DUMMYFUNCTION("IMPORTRANGE(""https://docs.google.com/spreadsheets/d/1SX6NBoVAgQJ6U1MVXOaj8PK2l7WJ3RER9xtqwdhxkhw/edit?usp=sharing"",""สระแก้ว!J413"")"),0.0)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IFERROR(__xludf.DUMMYFUNCTION("IMPORTRANGE(""https://docs.google.com/spreadsheets/d/1SX6NBoVAgQJ6U1MVXOaj8PK2l7WJ3RER9xtqwdhxkhw/edit?usp=sharing"",""สระแก้ว!I414"")"),0.0)</f>
        <v>0</v>
      </c>
      <c r="J519" s="222">
        <f>IFERROR(__xludf.DUMMYFUNCTION("IMPORTRANGE(""https://docs.google.com/spreadsheets/d/1SX6NBoVAgQJ6U1MVXOaj8PK2l7WJ3RER9xtqwdhxkhw/edit?usp=sharing"",""สระแก้ว!J414"")"),0.0)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IFERROR(__xludf.DUMMYFUNCTION("IMPORTRANGE(""https://docs.google.com/spreadsheets/d/1SX6NBoVAgQJ6U1MVXOaj8PK2l7WJ3RER9xtqwdhxkhw/edit?usp=sharing"",""สระแก้ว!I415"")"),0.0)</f>
        <v>0</v>
      </c>
      <c r="J520" s="222">
        <f>IFERROR(__xludf.DUMMYFUNCTION("IMPORTRANGE(""https://docs.google.com/spreadsheets/d/1SX6NBoVAgQJ6U1MVXOaj8PK2l7WJ3RER9xtqwdhxkhw/edit?usp=sharing"",""สระแก้ว!J415"")"),0.0)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IFERROR(__xludf.DUMMYFUNCTION("IMPORTRANGE(""https://docs.google.com/spreadsheets/d/1SX6NBoVAgQJ6U1MVXOaj8PK2l7WJ3RER9xtqwdhxkhw/edit?usp=sharing"",""สระแก้ว!I416"")"),0.0)</f>
        <v>0</v>
      </c>
      <c r="J521" s="222">
        <f>IFERROR(__xludf.DUMMYFUNCTION("IMPORTRANGE(""https://docs.google.com/spreadsheets/d/1SX6NBoVAgQJ6U1MVXOaj8PK2l7WJ3RER9xtqwdhxkhw/edit?usp=sharing"",""สระแก้ว!J416"")"),0.0)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IFERROR(__xludf.DUMMYFUNCTION("IMPORTRANGE(""https://docs.google.com/spreadsheets/d/1SX6NBoVAgQJ6U1MVXOaj8PK2l7WJ3RER9xtqwdhxkhw/edit?usp=sharing"",""สระแก้ว!I417"")"),0.0)</f>
        <v>0</v>
      </c>
      <c r="J522" s="222">
        <f>IFERROR(__xludf.DUMMYFUNCTION("IMPORTRANGE(""https://docs.google.com/spreadsheets/d/1SX6NBoVAgQJ6U1MVXOaj8PK2l7WJ3RER9xtqwdhxkhw/edit?usp=sharing"",""สระแก้ว!J417"")"),0.0)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IFERROR(__xludf.DUMMYFUNCTION("IMPORTRANGE(""https://docs.google.com/spreadsheets/d/1SX6NBoVAgQJ6U1MVXOaj8PK2l7WJ3RER9xtqwdhxkhw/edit?usp=sharing"",""สระแก้ว!I418"")"),0.0)</f>
        <v>0</v>
      </c>
      <c r="J523" s="222">
        <f>IFERROR(__xludf.DUMMYFUNCTION("IMPORTRANGE(""https://docs.google.com/spreadsheets/d/1SX6NBoVAgQJ6U1MVXOaj8PK2l7WJ3RER9xtqwdhxkhw/edit?usp=sharing"",""สระแก้ว!J418"")"),0.0)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IFERROR(__xludf.DUMMYFUNCTION("IMPORTRANGE(""https://docs.google.com/spreadsheets/d/1SX6NBoVAgQJ6U1MVXOaj8PK2l7WJ3RER9xtqwdhxkhw/edit?usp=sharing"",""สระแก้ว!I419"")"),0.0)</f>
        <v>0</v>
      </c>
      <c r="J524" s="222">
        <f>IFERROR(__xludf.DUMMYFUNCTION("IMPORTRANGE(""https://docs.google.com/spreadsheets/d/1SX6NBoVAgQJ6U1MVXOaj8PK2l7WJ3RER9xtqwdhxkhw/edit?usp=sharing"",""สระแก้ว!J419"")"),0.0)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IFERROR(__xludf.DUMMYFUNCTION("IMPORTRANGE(""https://docs.google.com/spreadsheets/d/1SX6NBoVAgQJ6U1MVXOaj8PK2l7WJ3RER9xtqwdhxkhw/edit?usp=sharing"",""สระแก้ว!I420"")"),0.0)</f>
        <v>0</v>
      </c>
      <c r="J525" s="317">
        <f>IFERROR(__xludf.DUMMYFUNCTION("IMPORTRANGE(""https://docs.google.com/spreadsheets/d/1SX6NBoVAgQJ6U1MVXOaj8PK2l7WJ3RER9xtqwdhxkhw/edit?usp=sharing"",""สระแก้ว!J420"")"),0.0)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IFERROR(__xludf.DUMMYFUNCTION("IMPORTRANGE(""https://docs.google.com/spreadsheets/d/1SX6NBoVAgQJ6U1MVXOaj8PK2l7WJ3RER9xtqwdhxkhw/edit?usp=sharing"",""สระแก้ว!I421"")"),0.0)</f>
        <v>0</v>
      </c>
      <c r="J526" s="317">
        <f>IFERROR(__xludf.DUMMYFUNCTION("IMPORTRANGE(""https://docs.google.com/spreadsheets/d/1SX6NBoVAgQJ6U1MVXOaj8PK2l7WJ3RER9xtqwdhxkhw/edit?usp=sharing"",""สระแก้ว!J421"")"),0.0)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IFERROR(__xludf.DUMMYFUNCTION("IMPORTRANGE(""https://docs.google.com/spreadsheets/d/1SX6NBoVAgQJ6U1MVXOaj8PK2l7WJ3RER9xtqwdhxkhw/edit?usp=sharing"",""สระแก้ว!I422"")"),0.0)</f>
        <v>0</v>
      </c>
      <c r="J527" s="232">
        <f>IFERROR(__xludf.DUMMYFUNCTION("IMPORTRANGE(""https://docs.google.com/spreadsheets/d/1SX6NBoVAgQJ6U1MVXOaj8PK2l7WJ3RER9xtqwdhxkhw/edit?usp=sharing"",""สระแก้ว!J422"")"),0.0)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IFERROR(__xludf.DUMMYFUNCTION("IMPORTRANGE(""https://docs.google.com/spreadsheets/d/1SX6NBoVAgQJ6U1MVXOaj8PK2l7WJ3RER9xtqwdhxkhw/edit?usp=sharing"",""สระแก้ว!I423"")"),0.0)</f>
        <v>0</v>
      </c>
      <c r="J528" s="232">
        <f>IFERROR(__xludf.DUMMYFUNCTION("IMPORTRANGE(""https://docs.google.com/spreadsheets/d/1SX6NBoVAgQJ6U1MVXOaj8PK2l7WJ3RER9xtqwdhxkhw/edit?usp=sharing"",""สระแก้ว!J423"")"),0.0)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IFERROR(__xludf.DUMMYFUNCTION("IMPORTRANGE(""https://docs.google.com/spreadsheets/d/1SX6NBoVAgQJ6U1MVXOaj8PK2l7WJ3RER9xtqwdhxkhw/edit?usp=sharing"",""สระแก้ว!I424"")"),0.0)</f>
        <v>0</v>
      </c>
      <c r="J529" s="232">
        <f>IFERROR(__xludf.DUMMYFUNCTION("IMPORTRANGE(""https://docs.google.com/spreadsheets/d/1SX6NBoVAgQJ6U1MVXOaj8PK2l7WJ3RER9xtqwdhxkhw/edit?usp=sharing"",""สระแก้ว!J424"")"),0.0)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IFERROR(__xludf.DUMMYFUNCTION("IMPORTRANGE(""https://docs.google.com/spreadsheets/d/1SX6NBoVAgQJ6U1MVXOaj8PK2l7WJ3RER9xtqwdhxkhw/edit?usp=sharing"",""สระแก้ว!I425"")"),0.0)</f>
        <v>0</v>
      </c>
      <c r="J530" s="232">
        <f>IFERROR(__xludf.DUMMYFUNCTION("IMPORTRANGE(""https://docs.google.com/spreadsheets/d/1SX6NBoVAgQJ6U1MVXOaj8PK2l7WJ3RER9xtqwdhxkhw/edit?usp=sharing"",""สระแก้ว!J425"")"),0.0)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IFERROR(__xludf.DUMMYFUNCTION("IMPORTRANGE(""https://docs.google.com/spreadsheets/d/1SX6NBoVAgQJ6U1MVXOaj8PK2l7WJ3RER9xtqwdhxkhw/edit?usp=sharing"",""สระแก้ว!I426"")"),0.0)</f>
        <v>0</v>
      </c>
      <c r="J531" s="232">
        <f>IFERROR(__xludf.DUMMYFUNCTION("IMPORTRANGE(""https://docs.google.com/spreadsheets/d/1SX6NBoVAgQJ6U1MVXOaj8PK2l7WJ3RER9xtqwdhxkhw/edit?usp=sharing"",""สระแก้ว!J426"")"),0.0)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IFERROR(__xludf.DUMMYFUNCTION("IMPORTRANGE(""https://docs.google.com/spreadsheets/d/1SX6NBoVAgQJ6U1MVXOaj8PK2l7WJ3RER9xtqwdhxkhw/edit?usp=sharing"",""สระแก้ว!I427"")"),0.0)</f>
        <v>0</v>
      </c>
      <c r="J532" s="499">
        <f>IFERROR(__xludf.DUMMYFUNCTION("IMPORTRANGE(""https://docs.google.com/spreadsheets/d/1SX6NBoVAgQJ6U1MVXOaj8PK2l7WJ3RER9xtqwdhxkhw/edit?usp=sharing"",""สระแก้ว!J427"")"),0.0)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IFERROR(__xludf.DUMMYFUNCTION("IMPORTRANGE(""https://docs.google.com/spreadsheets/d/1SX6NBoVAgQJ6U1MVXOaj8PK2l7WJ3RER9xtqwdhxkhw/edit?usp=sharing"",""สระแก้ว!I428"")"),22.0)</f>
        <v>22</v>
      </c>
      <c r="J533" s="443">
        <f>IFERROR(__xludf.DUMMYFUNCTION("IMPORTRANGE(""https://docs.google.com/spreadsheets/d/1SX6NBoVAgQJ6U1MVXOaj8PK2l7WJ3RER9xtqwdhxkhw/edit?usp=sharing"",""สระแก้ว!J428"")"),22.0)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IFERROR(__xludf.DUMMYFUNCTION("IMPORTRANGE(""https://docs.google.com/spreadsheets/d/1SX6NBoVAgQJ6U1MVXOaj8PK2l7WJ3RER9xtqwdhxkhw/edit?usp=sharing"",""สระแก้ว!L428"")"),34340.0)</f>
        <v>34340</v>
      </c>
      <c r="M533" s="445"/>
      <c r="N533" s="445">
        <f>IFERROR(__xludf.DUMMYFUNCTION("IMPORTRANGE(""https://docs.google.com/spreadsheets/d/1SX6NBoVAgQJ6U1MVXOaj8PK2l7WJ3RER9xtqwdhxkhw/edit?usp=sharing"",""สระแก้ว!M428"")"),27345.0)</f>
        <v>27345</v>
      </c>
      <c r="O533" s="445">
        <f t="shared" ref="O533:O537" si="119">+IF(L533&gt;0,N533*100/L533,0)</f>
        <v>79.6301689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IFERROR(__xludf.DUMMYFUNCTION("IMPORTRANGE(""https://docs.google.com/spreadsheets/d/1SX6NBoVAgQJ6U1MVXOaj8PK2l7WJ3RER9xtqwdhxkhw/edit?usp=sharing"",""สระแก้ว!L429"")"),0.0)</f>
        <v>0</v>
      </c>
      <c r="M534" s="197"/>
      <c r="N534" s="203">
        <f>IFERROR(__xludf.DUMMYFUNCTION("IMPORTRANGE(""https://docs.google.com/spreadsheets/d/1SX6NBoVAgQJ6U1MVXOaj8PK2l7WJ3RER9xtqwdhxkhw/edit?usp=sharing"",""สระแก้ว!M429"")"),0.0)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IFERROR(__xludf.DUMMYFUNCTION("IMPORTRANGE(""https://docs.google.com/spreadsheets/d/1SX6NBoVAgQJ6U1MVXOaj8PK2l7WJ3RER9xtqwdhxkhw/edit?usp=sharing"",""สระแก้ว!L430"")"),34340.0)</f>
        <v>34340</v>
      </c>
      <c r="M535" s="198"/>
      <c r="N535" s="203">
        <f>IFERROR(__xludf.DUMMYFUNCTION("IMPORTRANGE(""https://docs.google.com/spreadsheets/d/1SX6NBoVAgQJ6U1MVXOaj8PK2l7WJ3RER9xtqwdhxkhw/edit?usp=sharing"",""สระแก้ว!M430"")"),27345.0)</f>
        <v>27345</v>
      </c>
      <c r="O535" s="203">
        <f t="shared" si="119"/>
        <v>79.6301689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IFERROR(__xludf.DUMMYFUNCTION("IMPORTRANGE(""https://docs.google.com/spreadsheets/d/1SX6NBoVAgQJ6U1MVXOaj8PK2l7WJ3RER9xtqwdhxkhw/edit?usp=sharing"",""สระแก้ว!L431"")"),0.0)</f>
        <v>0</v>
      </c>
      <c r="M536" s="203"/>
      <c r="N536" s="203">
        <f>IFERROR(__xludf.DUMMYFUNCTION("IMPORTRANGE(""https://docs.google.com/spreadsheets/d/1SX6NBoVAgQJ6U1MVXOaj8PK2l7WJ3RER9xtqwdhxkhw/edit?usp=sharing"",""สระแก้ว!M431"")"),0.0)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IFERROR(__xludf.DUMMYFUNCTION("IMPORTRANGE(""https://docs.google.com/spreadsheets/d/1SX6NBoVAgQJ6U1MVXOaj8PK2l7WJ3RER9xtqwdhxkhw/edit?usp=sharing"",""สระแก้ว!L432"")"),34340.0)</f>
        <v>34340</v>
      </c>
      <c r="M537" s="203"/>
      <c r="N537" s="203">
        <f>IFERROR(__xludf.DUMMYFUNCTION("IMPORTRANGE(""https://docs.google.com/spreadsheets/d/1SX6NBoVAgQJ6U1MVXOaj8PK2l7WJ3RER9xtqwdhxkhw/edit?usp=sharing"",""สระแก้ว!M432"")"),27345.0)</f>
        <v>27345</v>
      </c>
      <c r="O537" s="203">
        <f t="shared" si="119"/>
        <v>79.6301689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IFERROR(__xludf.DUMMYFUNCTION("IMPORTRANGE(""https://docs.google.com/spreadsheets/d/1SX6NBoVAgQJ6U1MVXOaj8PK2l7WJ3RER9xtqwdhxkhw/edit?usp=sharing"",""สระแก้ว!M433"")"),0.0)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IFERROR(__xludf.DUMMYFUNCTION("IMPORTRANGE(""https://docs.google.com/spreadsheets/d/1SX6NBoVAgQJ6U1MVXOaj8PK2l7WJ3RER9xtqwdhxkhw/edit?usp=sharing"",""สระแก้ว!M434"")"),18740.0)</f>
        <v>18740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IFERROR(__xludf.DUMMYFUNCTION("IMPORTRANGE(""https://docs.google.com/spreadsheets/d/1SX6NBoVAgQJ6U1MVXOaj8PK2l7WJ3RER9xtqwdhxkhw/edit?usp=sharing"",""สระแก้ว!M435"")"),0.0)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IFERROR(__xludf.DUMMYFUNCTION("IMPORTRANGE(""https://docs.google.com/spreadsheets/d/1SX6NBoVAgQJ6U1MVXOaj8PK2l7WJ3RER9xtqwdhxkhw/edit?usp=sharing"",""สระแก้ว!M436"")"),8605.0)</f>
        <v>8605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IFERROR(__xludf.DUMMYFUNCTION("IMPORTRANGE(""https://docs.google.com/spreadsheets/d/1SX6NBoVAgQJ6U1MVXOaj8PK2l7WJ3RER9xtqwdhxkhw/edit?usp=sharing"",""สระแก้ว!J438"")"),0.0)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IFERROR(__xludf.DUMMYFUNCTION("IMPORTRANGE(""https://docs.google.com/spreadsheets/d/1SX6NBoVAgQJ6U1MVXOaj8PK2l7WJ3RER9xtqwdhxkhw/edit?usp=sharing"",""สระแก้ว!J439"")"),1.0)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IFERROR(__xludf.DUMMYFUNCTION("IMPORTRANGE(""https://docs.google.com/spreadsheets/d/1SX6NBoVAgQJ6U1MVXOaj8PK2l7WJ3RER9xtqwdhxkhw/edit?usp=sharing"",""สระแก้ว!J440"")"),1.0)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IFERROR(__xludf.DUMMYFUNCTION("IMPORTRANGE(""https://docs.google.com/spreadsheets/d/1SX6NBoVAgQJ6U1MVXOaj8PK2l7WJ3RER9xtqwdhxkhw/edit?usp=sharing"",""สระแก้ว!J441"")"),1.0)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IFERROR(__xludf.DUMMYFUNCTION("IMPORTRANGE(""https://docs.google.com/spreadsheets/d/1SX6NBoVAgQJ6U1MVXOaj8PK2l7WJ3RER9xtqwdhxkhw/edit?usp=sharing"",""สระแก้ว!I442"")"),22.0)</f>
        <v>22</v>
      </c>
      <c r="J547" s="223">
        <f>IFERROR(__xludf.DUMMYFUNCTION("IMPORTRANGE(""https://docs.google.com/spreadsheets/d/1SX6NBoVAgQJ6U1MVXOaj8PK2l7WJ3RER9xtqwdhxkhw/edit?usp=sharing"",""สระแก้ว!J442"")"),22.0)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IFERROR(__xludf.DUMMYFUNCTION("IMPORTRANGE(""https://docs.google.com/spreadsheets/d/1SX6NBoVAgQJ6U1MVXOaj8PK2l7WJ3RER9xtqwdhxkhw/edit?usp=sharing"",""สระแก้ว!J166"")"),0.0)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IFERROR(__xludf.DUMMYFUNCTION("IMPORTRANGE(""https://docs.google.com/spreadsheets/d/1SX6NBoVAgQJ6U1MVXOaj8PK2l7WJ3RER9xtqwdhxkhw/edit?usp=sharing"",""สระแก้ว!J444"")"),0.0)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IFERROR(__xludf.DUMMYFUNCTION("IMPORTRANGE(""https://docs.google.com/spreadsheets/d/1SX6NBoVAgQJ6U1MVXOaj8PK2l7WJ3RER9xtqwdhxkhw/edit?usp=sharing"",""สระแก้ว!J445"")"),0.0)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IFERROR(__xludf.DUMMYFUNCTION("IMPORTRANGE(""https://docs.google.com/spreadsheets/d/1SX6NBoVAgQJ6U1MVXOaj8PK2l7WJ3RER9xtqwdhxkhw/edit?usp=sharing"",""สระแก้ว!I446"")"),0.0)</f>
        <v>0</v>
      </c>
      <c r="J551" s="443">
        <f>IFERROR(__xludf.DUMMYFUNCTION("IMPORTRANGE(""https://docs.google.com/spreadsheets/d/1SX6NBoVAgQJ6U1MVXOaj8PK2l7WJ3RER9xtqwdhxkhw/edit?usp=sharing"",""สระแก้ว!J446"")"),0.0)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IFERROR(__xludf.DUMMYFUNCTION("IMPORTRANGE(""https://docs.google.com/spreadsheets/d/1SX6NBoVAgQJ6U1MVXOaj8PK2l7WJ3RER9xtqwdhxkhw/edit?usp=sharing"",""สระแก้ว!L446"")"),0.0)</f>
        <v>0</v>
      </c>
      <c r="M551" s="445"/>
      <c r="N551" s="445">
        <f>IFERROR(__xludf.DUMMYFUNCTION("IMPORTRANGE(""https://docs.google.com/spreadsheets/d/1SX6NBoVAgQJ6U1MVXOaj8PK2l7WJ3RER9xtqwdhxkhw/edit?usp=sharing"",""สระแก้ว!M446"")"),0.0)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IFERROR(__xludf.DUMMYFUNCTION("IMPORTRANGE(""https://docs.google.com/spreadsheets/d/1SX6NBoVAgQJ6U1MVXOaj8PK2l7WJ3RER9xtqwdhxkhw/edit?usp=sharing"",""สระแก้ว!L447"")"),0.0)</f>
        <v>0</v>
      </c>
      <c r="M552" s="197"/>
      <c r="N552" s="203">
        <f>IFERROR(__xludf.DUMMYFUNCTION("IMPORTRANGE(""https://docs.google.com/spreadsheets/d/1SX6NBoVAgQJ6U1MVXOaj8PK2l7WJ3RER9xtqwdhxkhw/edit?usp=sharing"",""สระแก้ว!M447"")"),0.0)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IFERROR(__xludf.DUMMYFUNCTION("IMPORTRANGE(""https://docs.google.com/spreadsheets/d/1SX6NBoVAgQJ6U1MVXOaj8PK2l7WJ3RER9xtqwdhxkhw/edit?usp=sharing"",""สระแก้ว!L448"")"),0.0)</f>
        <v>0</v>
      </c>
      <c r="M553" s="198"/>
      <c r="N553" s="203">
        <f>IFERROR(__xludf.DUMMYFUNCTION("IMPORTRANGE(""https://docs.google.com/spreadsheets/d/1SX6NBoVAgQJ6U1MVXOaj8PK2l7WJ3RER9xtqwdhxkhw/edit?usp=sharing"",""สระแก้ว!M448"")"),0.0)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IFERROR(__xludf.DUMMYFUNCTION("IMPORTRANGE(""https://docs.google.com/spreadsheets/d/1SX6NBoVAgQJ6U1MVXOaj8PK2l7WJ3RER9xtqwdhxkhw/edit?usp=sharing"",""สระแก้ว!L449"")"),0.0)</f>
        <v>0</v>
      </c>
      <c r="M554" s="203"/>
      <c r="N554" s="203">
        <f>IFERROR(__xludf.DUMMYFUNCTION("IMPORTRANGE(""https://docs.google.com/spreadsheets/d/1SX6NBoVAgQJ6U1MVXOaj8PK2l7WJ3RER9xtqwdhxkhw/edit?usp=sharing"",""สระแก้ว!M449"")"),0.0)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IFERROR(__xludf.DUMMYFUNCTION("IMPORTRANGE(""https://docs.google.com/spreadsheets/d/1SX6NBoVAgQJ6U1MVXOaj8PK2l7WJ3RER9xtqwdhxkhw/edit?usp=sharing"",""สระแก้ว!L450"")"),0.0)</f>
        <v>0</v>
      </c>
      <c r="M555" s="203"/>
      <c r="N555" s="203">
        <f>IFERROR(__xludf.DUMMYFUNCTION("IMPORTRANGE(""https://docs.google.com/spreadsheets/d/1SX6NBoVAgQJ6U1MVXOaj8PK2l7WJ3RER9xtqwdhxkhw/edit?usp=sharing"",""สระแก้ว!M450"")"),0.0)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IFERROR(__xludf.DUMMYFUNCTION("IMPORTRANGE(""https://docs.google.com/spreadsheets/d/1SX6NBoVAgQJ6U1MVXOaj8PK2l7WJ3RER9xtqwdhxkhw/edit?usp=sharing"",""สระแก้ว!M451"")"),0.0)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IFERROR(__xludf.DUMMYFUNCTION("IMPORTRANGE(""https://docs.google.com/spreadsheets/d/1SX6NBoVAgQJ6U1MVXOaj8PK2l7WJ3RER9xtqwdhxkhw/edit?usp=sharing"",""สระแก้ว!M452"")"),0.0)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IFERROR(__xludf.DUMMYFUNCTION("IMPORTRANGE(""https://docs.google.com/spreadsheets/d/1SX6NBoVAgQJ6U1MVXOaj8PK2l7WJ3RER9xtqwdhxkhw/edit?usp=sharing"",""สระแก้ว!M453"")"),0.0)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IFERROR(__xludf.DUMMYFUNCTION("IMPORTRANGE(""https://docs.google.com/spreadsheets/d/1SX6NBoVAgQJ6U1MVXOaj8PK2l7WJ3RER9xtqwdhxkhw/edit?usp=sharing"",""สระแก้ว!M454"")"),0.0)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IFERROR(__xludf.DUMMYFUNCTION("IMPORTRANGE(""https://docs.google.com/spreadsheets/d/1SX6NBoVAgQJ6U1MVXOaj8PK2l7WJ3RER9xtqwdhxkhw/edit?usp=sharing"",""สระแก้ว!I455"")"),0.0)</f>
        <v>0</v>
      </c>
      <c r="J560" s="195">
        <f>IFERROR(__xludf.DUMMYFUNCTION("IMPORTRANGE(""https://docs.google.com/spreadsheets/d/1SX6NBoVAgQJ6U1MVXOaj8PK2l7WJ3RER9xtqwdhxkhw/edit?usp=sharing"",""สระแก้ว!J455"")"),0.0)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IFERROR(__xludf.DUMMYFUNCTION("IMPORTRANGE(""https://docs.google.com/spreadsheets/d/1SX6NBoVAgQJ6U1MVXOaj8PK2l7WJ3RER9xtqwdhxkhw/edit?usp=sharing"",""สระแก้ว!I456"")"),0.0)</f>
        <v>0</v>
      </c>
      <c r="J561" s="238">
        <f>IFERROR(__xludf.DUMMYFUNCTION("IMPORTRANGE(""https://docs.google.com/spreadsheets/d/1SX6NBoVAgQJ6U1MVXOaj8PK2l7WJ3RER9xtqwdhxkhw/edit?usp=sharing"",""สระแก้ว!J456"")"),0.0)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IFERROR(__xludf.DUMMYFUNCTION("IMPORTRANGE(""https://docs.google.com/spreadsheets/d/1SX6NBoVAgQJ6U1MVXOaj8PK2l7WJ3RER9xtqwdhxkhw/edit?usp=sharing"",""สระแก้ว!I457"")"),"")</f>
        <v/>
      </c>
      <c r="J562" s="238" t="str">
        <f>IFERROR(__xludf.DUMMYFUNCTION("IMPORTRANGE(""https://docs.google.com/spreadsheets/d/1SX6NBoVAgQJ6U1MVXOaj8PK2l7WJ3RER9xtqwdhxkhw/edit?usp=sharing"",""สระแก้ว!J457"")"),"")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IFERROR(__xludf.DUMMYFUNCTION("IMPORTRANGE(""https://docs.google.com/spreadsheets/d/1SX6NBoVAgQJ6U1MVXOaj8PK2l7WJ3RER9xtqwdhxkhw/edit?usp=sharing"",""สระแก้ว!I458"")"),"")</f>
        <v/>
      </c>
      <c r="J563" s="222" t="str">
        <f>IFERROR(__xludf.DUMMYFUNCTION("IMPORTRANGE(""https://docs.google.com/spreadsheets/d/1SX6NBoVAgQJ6U1MVXOaj8PK2l7WJ3RER9xtqwdhxkhw/edit?usp=sharing"",""สระแก้ว!J458"")"),"")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IFERROR(__xludf.DUMMYFUNCTION("IMPORTRANGE(""https://docs.google.com/spreadsheets/d/1SX6NBoVAgQJ6U1MVXOaj8PK2l7WJ3RER9xtqwdhxkhw/edit?usp=sharing"",""สระแก้ว!I459"")"),3950.0)</f>
        <v>3950</v>
      </c>
      <c r="J564" s="404">
        <f>IFERROR(__xludf.DUMMYFUNCTION("IMPORTRANGE(""https://docs.google.com/spreadsheets/d/1SX6NBoVAgQJ6U1MVXOaj8PK2l7WJ3RER9xtqwdhxkhw/edit?usp=sharing"",""สระแก้ว!J459"")"),3076.0)</f>
        <v>3076</v>
      </c>
      <c r="K564" s="405">
        <f t="shared" si="122"/>
        <v>77.87341772</v>
      </c>
      <c r="L564" s="406">
        <f>IFERROR(__xludf.DUMMYFUNCTION("IMPORTRANGE(""https://docs.google.com/spreadsheets/d/1SX6NBoVAgQJ6U1MVXOaj8PK2l7WJ3RER9xtqwdhxkhw/edit?usp=sharing"",""สระแก้ว!L459"")"),165600.0)</f>
        <v>165600</v>
      </c>
      <c r="M564" s="406"/>
      <c r="N564" s="406">
        <f>IFERROR(__xludf.DUMMYFUNCTION("IMPORTRANGE(""https://docs.google.com/spreadsheets/d/1SX6NBoVAgQJ6U1MVXOaj8PK2l7WJ3RER9xtqwdhxkhw/edit?usp=sharing"",""สระแก้ว!M459"")"),33195.0)</f>
        <v>33195</v>
      </c>
      <c r="O564" s="406">
        <f t="shared" ref="O564:O568" si="123">+IF(L564&gt;0,N564*100/L564,0)</f>
        <v>20.04528986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IFERROR(__xludf.DUMMYFUNCTION("IMPORTRANGE(""https://docs.google.com/spreadsheets/d/1SX6NBoVAgQJ6U1MVXOaj8PK2l7WJ3RER9xtqwdhxkhw/edit?usp=sharing"",""สระแก้ว!L460"")"),0.0)</f>
        <v>0</v>
      </c>
      <c r="M565" s="197"/>
      <c r="N565" s="203">
        <f>IFERROR(__xludf.DUMMYFUNCTION("IMPORTRANGE(""https://docs.google.com/spreadsheets/d/1SX6NBoVAgQJ6U1MVXOaj8PK2l7WJ3RER9xtqwdhxkhw/edit?usp=sharing"",""สระแก้ว!M460"")"),0.0)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IFERROR(__xludf.DUMMYFUNCTION("IMPORTRANGE(""https://docs.google.com/spreadsheets/d/1SX6NBoVAgQJ6U1MVXOaj8PK2l7WJ3RER9xtqwdhxkhw/edit?usp=sharing"",""สระแก้ว!L461"")"),165600.0)</f>
        <v>165600</v>
      </c>
      <c r="M566" s="198"/>
      <c r="N566" s="203">
        <f>IFERROR(__xludf.DUMMYFUNCTION("IMPORTRANGE(""https://docs.google.com/spreadsheets/d/1SX6NBoVAgQJ6U1MVXOaj8PK2l7WJ3RER9xtqwdhxkhw/edit?usp=sharing"",""สระแก้ว!M461"")"),33195.0)</f>
        <v>33195</v>
      </c>
      <c r="O566" s="203">
        <f t="shared" si="123"/>
        <v>20.04528986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IFERROR(__xludf.DUMMYFUNCTION("IMPORTRANGE(""https://docs.google.com/spreadsheets/d/1SX6NBoVAgQJ6U1MVXOaj8PK2l7WJ3RER9xtqwdhxkhw/edit?usp=sharing"",""สระแก้ว!L462"")"),0.0)</f>
        <v>0</v>
      </c>
      <c r="M567" s="203"/>
      <c r="N567" s="203">
        <f>IFERROR(__xludf.DUMMYFUNCTION("IMPORTRANGE(""https://docs.google.com/spreadsheets/d/1SX6NBoVAgQJ6U1MVXOaj8PK2l7WJ3RER9xtqwdhxkhw/edit?usp=sharing"",""สระแก้ว!M462"")"),0.0)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IFERROR(__xludf.DUMMYFUNCTION("IMPORTRANGE(""https://docs.google.com/spreadsheets/d/1SX6NBoVAgQJ6U1MVXOaj8PK2l7WJ3RER9xtqwdhxkhw/edit?usp=sharing"",""สระแก้ว!L463"")"),165600.0)</f>
        <v>165600</v>
      </c>
      <c r="M568" s="203"/>
      <c r="N568" s="203">
        <f>IFERROR(__xludf.DUMMYFUNCTION("IMPORTRANGE(""https://docs.google.com/spreadsheets/d/1SX6NBoVAgQJ6U1MVXOaj8PK2l7WJ3RER9xtqwdhxkhw/edit?usp=sharing"",""สระแก้ว!M463"")"),33195.0)</f>
        <v>33195</v>
      </c>
      <c r="O568" s="203">
        <f t="shared" si="123"/>
        <v>20.04528986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IFERROR(__xludf.DUMMYFUNCTION("IMPORTRANGE(""https://docs.google.com/spreadsheets/d/1SX6NBoVAgQJ6U1MVXOaj8PK2l7WJ3RER9xtqwdhxkhw/edit?usp=sharing"",""สระแก้ว!M464"")"),0.0)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IFERROR(__xludf.DUMMYFUNCTION("IMPORTRANGE(""https://docs.google.com/spreadsheets/d/1SX6NBoVAgQJ6U1MVXOaj8PK2l7WJ3RER9xtqwdhxkhw/edit?usp=sharing"",""สระแก้ว!M465"")"),0.0)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IFERROR(__xludf.DUMMYFUNCTION("IMPORTRANGE(""https://docs.google.com/spreadsheets/d/1SX6NBoVAgQJ6U1MVXOaj8PK2l7WJ3RER9xtqwdhxkhw/edit?usp=sharing"",""สระแก้ว!M466"")"),11195.0)</f>
        <v>11195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IFERROR(__xludf.DUMMYFUNCTION("IMPORTRANGE(""https://docs.google.com/spreadsheets/d/1SX6NBoVAgQJ6U1MVXOaj8PK2l7WJ3RER9xtqwdhxkhw/edit?usp=sharing"",""สระแก้ว!M467"")"),22000.0)</f>
        <v>22000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IFERROR(__xludf.DUMMYFUNCTION("IMPORTRANGE(""https://docs.google.com/spreadsheets/d/1SX6NBoVAgQJ6U1MVXOaj8PK2l7WJ3RER9xtqwdhxkhw/edit?usp=sharing"",""สระแก้ว!I468"")"),3950.0)</f>
        <v>3950</v>
      </c>
      <c r="J573" s="453">
        <f>IFERROR(__xludf.DUMMYFUNCTION("IMPORTRANGE(""https://docs.google.com/spreadsheets/d/1SX6NBoVAgQJ6U1MVXOaj8PK2l7WJ3RER9xtqwdhxkhw/edit?usp=sharing"",""สระแก้ว!J468"")"),3076.0)</f>
        <v>3076</v>
      </c>
      <c r="K573" s="236">
        <f>IF(I573&gt;0,J573*100/I573,0)</f>
        <v>77.87341772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IFERROR(__xludf.DUMMYFUNCTION("IMPORTRANGE(""https://docs.google.com/spreadsheets/d/1SX6NBoVAgQJ6U1MVXOaj8PK2l7WJ3RER9xtqwdhxkhw/edit?usp=sharing"",""สระแก้ว!I470"")"),0.0)</f>
        <v>0</v>
      </c>
      <c r="J575" s="232">
        <f>IFERROR(__xludf.DUMMYFUNCTION("IMPORTRANGE(""https://docs.google.com/spreadsheets/d/1SX6NBoVAgQJ6U1MVXOaj8PK2l7WJ3RER9xtqwdhxkhw/edit?usp=sharing"",""สระแก้ว!J470"")"),3.0)</f>
        <v>3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IFERROR(__xludf.DUMMYFUNCTION("IMPORTRANGE(""https://docs.google.com/spreadsheets/d/1SX6NBoVAgQJ6U1MVXOaj8PK2l7WJ3RER9xtqwdhxkhw/edit?usp=sharing"",""สระแก้ว!I471"")"),0.0)</f>
        <v>0</v>
      </c>
      <c r="J576" s="232">
        <f>IFERROR(__xludf.DUMMYFUNCTION("IMPORTRANGE(""https://docs.google.com/spreadsheets/d/1SX6NBoVAgQJ6U1MVXOaj8PK2l7WJ3RER9xtqwdhxkhw/edit?usp=sharing"",""สระแก้ว!J471"")"),89.0)</f>
        <v>89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IFERROR(__xludf.DUMMYFUNCTION("IMPORTRANGE(""https://docs.google.com/spreadsheets/d/1SX6NBoVAgQJ6U1MVXOaj8PK2l7WJ3RER9xtqwdhxkhw/edit?usp=sharing"",""สระแก้ว!I472"")"),0.0)</f>
        <v>0</v>
      </c>
      <c r="J577" s="223">
        <f>IFERROR(__xludf.DUMMYFUNCTION("IMPORTRANGE(""https://docs.google.com/spreadsheets/d/1SX6NBoVAgQJ6U1MVXOaj8PK2l7WJ3RER9xtqwdhxkhw/edit?usp=sharing"",""สระแก้ว!J472"")"),2987.0)</f>
        <v>2987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IFERROR(__xludf.DUMMYFUNCTION("IMPORTRANGE(""https://docs.google.com/spreadsheets/d/1SX6NBoVAgQJ6U1MVXOaj8PK2l7WJ3RER9xtqwdhxkhw/edit?usp=sharing"",""สระแก้ว!I473"")"),0.0)</f>
        <v>0</v>
      </c>
      <c r="J578" s="232">
        <f>IFERROR(__xludf.DUMMYFUNCTION("IMPORTRANGE(""https://docs.google.com/spreadsheets/d/1SX6NBoVAgQJ6U1MVXOaj8PK2l7WJ3RER9xtqwdhxkhw/edit?usp=sharing"",""สระแก้ว!J473"")"),0.0)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IFERROR(__xludf.DUMMYFUNCTION("IMPORTRANGE(""https://docs.google.com/spreadsheets/d/1SX6NBoVAgQJ6U1MVXOaj8PK2l7WJ3RER9xtqwdhxkhw/edit?usp=sharing"",""สระแก้ว!I474"")"),0.0)</f>
        <v>0</v>
      </c>
      <c r="J579" s="232">
        <f>IFERROR(__xludf.DUMMYFUNCTION("IMPORTRANGE(""https://docs.google.com/spreadsheets/d/1SX6NBoVAgQJ6U1MVXOaj8PK2l7WJ3RER9xtqwdhxkhw/edit?usp=sharing"",""สระแก้ว!J474"")"),0.0)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IFERROR(__xludf.DUMMYFUNCTION("IMPORTRANGE(""https://docs.google.com/spreadsheets/d/1SX6NBoVAgQJ6U1MVXOaj8PK2l7WJ3RER9xtqwdhxkhw/edit?usp=sharing"",""สระแก้ว!I475"")"),213.0)</f>
        <v>213</v>
      </c>
      <c r="J580" s="404">
        <f>IFERROR(__xludf.DUMMYFUNCTION("IMPORTRANGE(""https://docs.google.com/spreadsheets/d/1SX6NBoVAgQJ6U1MVXOaj8PK2l7WJ3RER9xtqwdhxkhw/edit?usp=sharing"",""สระแก้ว!J475"")"),0.0)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IFERROR(__xludf.DUMMYFUNCTION("IMPORTRANGE(""https://docs.google.com/spreadsheets/d/1SX6NBoVAgQJ6U1MVXOaj8PK2l7WJ3RER9xtqwdhxkhw/edit?usp=sharing"",""สระแก้ว!L475"")"),370563.0)</f>
        <v>370563</v>
      </c>
      <c r="M580" s="406"/>
      <c r="N580" s="406">
        <f>IFERROR(__xludf.DUMMYFUNCTION("IMPORTRANGE(""https://docs.google.com/spreadsheets/d/1SX6NBoVAgQJ6U1MVXOaj8PK2l7WJ3RER9xtqwdhxkhw/edit?usp=sharing"",""สระแก้ว!M475"")"),37510.740000000005)</f>
        <v>37510.74</v>
      </c>
      <c r="O580" s="406">
        <f t="shared" ref="O580:O584" si="125">+IF(L580&gt;0,N580*100/L580,0)</f>
        <v>10.12263502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IFERROR(__xludf.DUMMYFUNCTION("IMPORTRANGE(""https://docs.google.com/spreadsheets/d/1SX6NBoVAgQJ6U1MVXOaj8PK2l7WJ3RER9xtqwdhxkhw/edit?usp=sharing"",""สระแก้ว!L476"")"),0.0)</f>
        <v>0</v>
      </c>
      <c r="M581" s="197"/>
      <c r="N581" s="203">
        <f>IFERROR(__xludf.DUMMYFUNCTION("IMPORTRANGE(""https://docs.google.com/spreadsheets/d/1SX6NBoVAgQJ6U1MVXOaj8PK2l7WJ3RER9xtqwdhxkhw/edit?usp=sharing"",""สระแก้ว!M476"")"),0.0)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IFERROR(__xludf.DUMMYFUNCTION("IMPORTRANGE(""https://docs.google.com/spreadsheets/d/1SX6NBoVAgQJ6U1MVXOaj8PK2l7WJ3RER9xtqwdhxkhw/edit?usp=sharing"",""สระแก้ว!L477"")"),370563.0)</f>
        <v>370563</v>
      </c>
      <c r="M582" s="198"/>
      <c r="N582" s="203">
        <f>IFERROR(__xludf.DUMMYFUNCTION("IMPORTRANGE(""https://docs.google.com/spreadsheets/d/1SX6NBoVAgQJ6U1MVXOaj8PK2l7WJ3RER9xtqwdhxkhw/edit?usp=sharing"",""สระแก้ว!M477"")"),37510.740000000005)</f>
        <v>37510.74</v>
      </c>
      <c r="O582" s="203">
        <f t="shared" si="125"/>
        <v>10.12263502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IFERROR(__xludf.DUMMYFUNCTION("IMPORTRANGE(""https://docs.google.com/spreadsheets/d/1SX6NBoVAgQJ6U1MVXOaj8PK2l7WJ3RER9xtqwdhxkhw/edit?usp=sharing"",""สระแก้ว!L478"")"),0.0)</f>
        <v>0</v>
      </c>
      <c r="M583" s="203"/>
      <c r="N583" s="203">
        <f>IFERROR(__xludf.DUMMYFUNCTION("IMPORTRANGE(""https://docs.google.com/spreadsheets/d/1SX6NBoVAgQJ6U1MVXOaj8PK2l7WJ3RER9xtqwdhxkhw/edit?usp=sharing"",""สระแก้ว!M478"")"),0.0)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IFERROR(__xludf.DUMMYFUNCTION("IMPORTRANGE(""https://docs.google.com/spreadsheets/d/1SX6NBoVAgQJ6U1MVXOaj8PK2l7WJ3RER9xtqwdhxkhw/edit?usp=sharing"",""สระแก้ว!L479"")"),370563.0)</f>
        <v>370563</v>
      </c>
      <c r="M584" s="203"/>
      <c r="N584" s="203">
        <f>IFERROR(__xludf.DUMMYFUNCTION("IMPORTRANGE(""https://docs.google.com/spreadsheets/d/1SX6NBoVAgQJ6U1MVXOaj8PK2l7WJ3RER9xtqwdhxkhw/edit?usp=sharing"",""สระแก้ว!M479"")"),37510.740000000005)</f>
        <v>37510.74</v>
      </c>
      <c r="O584" s="203">
        <f t="shared" si="125"/>
        <v>10.12263502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IFERROR(__xludf.DUMMYFUNCTION("IMPORTRANGE(""https://docs.google.com/spreadsheets/d/1SX6NBoVAgQJ6U1MVXOaj8PK2l7WJ3RER9xtqwdhxkhw/edit?usp=sharing"",""สระแก้ว!M480"")"),0.0)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IFERROR(__xludf.DUMMYFUNCTION("IMPORTRANGE(""https://docs.google.com/spreadsheets/d/1SX6NBoVAgQJ6U1MVXOaj8PK2l7WJ3RER9xtqwdhxkhw/edit?usp=sharing"",""สระแก้ว!M481"")"),0.0)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IFERROR(__xludf.DUMMYFUNCTION("IMPORTRANGE(""https://docs.google.com/spreadsheets/d/1SX6NBoVAgQJ6U1MVXOaj8PK2l7WJ3RER9xtqwdhxkhw/edit?usp=sharing"",""สระแก้ว!M482"")"),30870.74)</f>
        <v>30870.74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IFERROR(__xludf.DUMMYFUNCTION("IMPORTRANGE(""https://docs.google.com/spreadsheets/d/1SX6NBoVAgQJ6U1MVXOaj8PK2l7WJ3RER9xtqwdhxkhw/edit?usp=sharing"",""สระแก้ว!M483"")"),6640.0)</f>
        <v>6640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IFERROR(__xludf.DUMMYFUNCTION("IMPORTRANGE(""https://docs.google.com/spreadsheets/d/1SX6NBoVAgQJ6U1MVXOaj8PK2l7WJ3RER9xtqwdhxkhw/edit?usp=sharing"",""สระแก้ว!I484"")"),213.0)</f>
        <v>213</v>
      </c>
      <c r="J589" s="222">
        <f>IFERROR(__xludf.DUMMYFUNCTION("IMPORTRANGE(""https://docs.google.com/spreadsheets/d/1SX6NBoVAgQJ6U1MVXOaj8PK2l7WJ3RER9xtqwdhxkhw/edit?usp=sharing"",""สระแก้ว!J484"")"),1.0)</f>
        <v>1</v>
      </c>
      <c r="K589" s="196">
        <f t="shared" ref="K589:K596" si="126">IF(I589&gt;0,J589*100/I589,0)</f>
        <v>0.4694835681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IFERROR(__xludf.DUMMYFUNCTION("IMPORTRANGE(""https://docs.google.com/spreadsheets/d/1SX6NBoVAgQJ6U1MVXOaj8PK2l7WJ3RER9xtqwdhxkhw/edit?usp=sharing"",""สระแก้ว!I485"")"),0.0)</f>
        <v>0</v>
      </c>
      <c r="J590" s="222">
        <f>IFERROR(__xludf.DUMMYFUNCTION("IMPORTRANGE(""https://docs.google.com/spreadsheets/d/1SX6NBoVAgQJ6U1MVXOaj8PK2l7WJ3RER9xtqwdhxkhw/edit?usp=sharing"",""สระแก้ว!J485"")"),0.21)</f>
        <v>0.21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IFERROR(__xludf.DUMMYFUNCTION("IMPORTRANGE(""https://docs.google.com/spreadsheets/d/1SX6NBoVAgQJ6U1MVXOaj8PK2l7WJ3RER9xtqwdhxkhw/edit?usp=sharing"",""สระแก้ว!I486"")"),213.0)</f>
        <v>213</v>
      </c>
      <c r="J591" s="222">
        <f>IFERROR(__xludf.DUMMYFUNCTION("IMPORTRANGE(""https://docs.google.com/spreadsheets/d/1SX6NBoVAgQJ6U1MVXOaj8PK2l7WJ3RER9xtqwdhxkhw/edit?usp=sharing"",""สระแก้ว!J486"")"),0.0)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IFERROR(__xludf.DUMMYFUNCTION("IMPORTRANGE(""https://docs.google.com/spreadsheets/d/1SX6NBoVAgQJ6U1MVXOaj8PK2l7WJ3RER9xtqwdhxkhw/edit?usp=sharing"",""สระแก้ว!I487"")"),0.0)</f>
        <v>0</v>
      </c>
      <c r="J592" s="222">
        <f>IFERROR(__xludf.DUMMYFUNCTION("IMPORTRANGE(""https://docs.google.com/spreadsheets/d/1SX6NBoVAgQJ6U1MVXOaj8PK2l7WJ3RER9xtqwdhxkhw/edit?usp=sharing"",""สระแก้ว!J487"")"),0.0)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IFERROR(__xludf.DUMMYFUNCTION("IMPORTRANGE(""https://docs.google.com/spreadsheets/d/1SX6NBoVAgQJ6U1MVXOaj8PK2l7WJ3RER9xtqwdhxkhw/edit?usp=sharing"",""สระแก้ว!I488"")"),213.0)</f>
        <v>213</v>
      </c>
      <c r="J593" s="222">
        <f>IFERROR(__xludf.DUMMYFUNCTION("IMPORTRANGE(""https://docs.google.com/spreadsheets/d/1SX6NBoVAgQJ6U1MVXOaj8PK2l7WJ3RER9xtqwdhxkhw/edit?usp=sharing"",""สระแก้ว!J488"")"),0.0)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IFERROR(__xludf.DUMMYFUNCTION("IMPORTRANGE(""https://docs.google.com/spreadsheets/d/1SX6NBoVAgQJ6U1MVXOaj8PK2l7WJ3RER9xtqwdhxkhw/edit?usp=sharing"",""สระแก้ว!I489"")"),0.0)</f>
        <v>0</v>
      </c>
      <c r="J594" s="222">
        <f>IFERROR(__xludf.DUMMYFUNCTION("IMPORTRANGE(""https://docs.google.com/spreadsheets/d/1SX6NBoVAgQJ6U1MVXOaj8PK2l7WJ3RER9xtqwdhxkhw/edit?usp=sharing"",""สระแก้ว!J489"")"),0.0)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IFERROR(__xludf.DUMMYFUNCTION("IMPORTRANGE(""https://docs.google.com/spreadsheets/d/1SX6NBoVAgQJ6U1MVXOaj8PK2l7WJ3RER9xtqwdhxkhw/edit?usp=sharing"",""สระแก้ว!I490"")"),213.0)</f>
        <v>213</v>
      </c>
      <c r="J595" s="222">
        <f>IFERROR(__xludf.DUMMYFUNCTION("IMPORTRANGE(""https://docs.google.com/spreadsheets/d/1SX6NBoVAgQJ6U1MVXOaj8PK2l7WJ3RER9xtqwdhxkhw/edit?usp=sharing"",""สระแก้ว!J490"")"),0.0)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IFERROR(__xludf.DUMMYFUNCTION("IMPORTRANGE(""https://docs.google.com/spreadsheets/d/1SX6NBoVAgQJ6U1MVXOaj8PK2l7WJ3RER9xtqwdhxkhw/edit?usp=sharing"",""สระแก้ว!I491"")"),0.0)</f>
        <v>0</v>
      </c>
      <c r="J596" s="275">
        <f>IFERROR(__xludf.DUMMYFUNCTION("IMPORTRANGE(""https://docs.google.com/spreadsheets/d/1SX6NBoVAgQJ6U1MVXOaj8PK2l7WJ3RER9xtqwdhxkhw/edit?usp=sharing"",""สระแก้ว!J491"")"),0.0)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IFERROR(__xludf.DUMMYFUNCTION("IMPORTRANGE(""https://docs.google.com/spreadsheets/d/1SX6NBoVAgQJ6U1MVXOaj8PK2l7WJ3RER9xtqwdhxkhw/edit?usp=sharing"",""สระแก้ว!I492"")"),100.0)</f>
        <v>100</v>
      </c>
      <c r="J597" s="520">
        <f>IFERROR(__xludf.DUMMYFUNCTION("IMPORTRANGE(""https://docs.google.com/spreadsheets/d/1SX6NBoVAgQJ6U1MVXOaj8PK2l7WJ3RER9xtqwdhxkhw/edit?usp=sharing"",""สระแก้ว!J492"")"),0.0)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IFERROR(__xludf.DUMMYFUNCTION("IMPORTRANGE(""https://docs.google.com/spreadsheets/d/1SX6NBoVAgQJ6U1MVXOaj8PK2l7WJ3RER9xtqwdhxkhw/edit?usp=sharing"",""สระแก้ว!L492"")"),12900.0)</f>
        <v>12900</v>
      </c>
      <c r="M597" s="445"/>
      <c r="N597" s="445">
        <f>IFERROR(__xludf.DUMMYFUNCTION("IMPORTRANGE(""https://docs.google.com/spreadsheets/d/1SX6NBoVAgQJ6U1MVXOaj8PK2l7WJ3RER9xtqwdhxkhw/edit?usp=sharing"",""สระแก้ว!M492"")"),7400.0)</f>
        <v>7400</v>
      </c>
      <c r="O597" s="445">
        <f t="shared" ref="O597:O601" si="127">+IF(L597&gt;0,N597*100/L597,0)</f>
        <v>57.36434109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IFERROR(__xludf.DUMMYFUNCTION("IMPORTRANGE(""https://docs.google.com/spreadsheets/d/1SX6NBoVAgQJ6U1MVXOaj8PK2l7WJ3RER9xtqwdhxkhw/edit?usp=sharing"",""สระแก้ว!L493"")"),0.0)</f>
        <v>0</v>
      </c>
      <c r="M598" s="197"/>
      <c r="N598" s="203">
        <f>IFERROR(__xludf.DUMMYFUNCTION("IMPORTRANGE(""https://docs.google.com/spreadsheets/d/1SX6NBoVAgQJ6U1MVXOaj8PK2l7WJ3RER9xtqwdhxkhw/edit?usp=sharing"",""สระแก้ว!M493"")"),0.0)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IFERROR(__xludf.DUMMYFUNCTION("IMPORTRANGE(""https://docs.google.com/spreadsheets/d/1SX6NBoVAgQJ6U1MVXOaj8PK2l7WJ3RER9xtqwdhxkhw/edit?usp=sharing"",""สระแก้ว!L494"")"),12900.0)</f>
        <v>12900</v>
      </c>
      <c r="M599" s="198"/>
      <c r="N599" s="203">
        <f>IFERROR(__xludf.DUMMYFUNCTION("IMPORTRANGE(""https://docs.google.com/spreadsheets/d/1SX6NBoVAgQJ6U1MVXOaj8PK2l7WJ3RER9xtqwdhxkhw/edit?usp=sharing"",""สระแก้ว!M494"")"),7400.0)</f>
        <v>7400</v>
      </c>
      <c r="O599" s="203">
        <f t="shared" si="127"/>
        <v>57.36434109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IFERROR(__xludf.DUMMYFUNCTION("IMPORTRANGE(""https://docs.google.com/spreadsheets/d/1SX6NBoVAgQJ6U1MVXOaj8PK2l7WJ3RER9xtqwdhxkhw/edit?usp=sharing"",""สระแก้ว!L495"")"),0.0)</f>
        <v>0</v>
      </c>
      <c r="M600" s="203"/>
      <c r="N600" s="203">
        <f>IFERROR(__xludf.DUMMYFUNCTION("IMPORTRANGE(""https://docs.google.com/spreadsheets/d/1SX6NBoVAgQJ6U1MVXOaj8PK2l7WJ3RER9xtqwdhxkhw/edit?usp=sharing"",""สระแก้ว!M495"")"),0.0)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IFERROR(__xludf.DUMMYFUNCTION("IMPORTRANGE(""https://docs.google.com/spreadsheets/d/1SX6NBoVAgQJ6U1MVXOaj8PK2l7WJ3RER9xtqwdhxkhw/edit?usp=sharing"",""สระแก้ว!L496"")"),12900.0)</f>
        <v>12900</v>
      </c>
      <c r="M601" s="203"/>
      <c r="N601" s="203">
        <f>IFERROR(__xludf.DUMMYFUNCTION("IMPORTRANGE(""https://docs.google.com/spreadsheets/d/1SX6NBoVAgQJ6U1MVXOaj8PK2l7WJ3RER9xtqwdhxkhw/edit?usp=sharing"",""สระแก้ว!M496"")"),7400.0)</f>
        <v>7400</v>
      </c>
      <c r="O601" s="203">
        <f t="shared" si="127"/>
        <v>57.36434109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IFERROR(__xludf.DUMMYFUNCTION("IMPORTRANGE(""https://docs.google.com/spreadsheets/d/1SX6NBoVAgQJ6U1MVXOaj8PK2l7WJ3RER9xtqwdhxkhw/edit?usp=sharing"",""สระแก้ว!M497"")"),0.0)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IFERROR(__xludf.DUMMYFUNCTION("IMPORTRANGE(""https://docs.google.com/spreadsheets/d/1SX6NBoVAgQJ6U1MVXOaj8PK2l7WJ3RER9xtqwdhxkhw/edit?usp=sharing"",""สระแก้ว!M498"")"),0.0)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IFERROR(__xludf.DUMMYFUNCTION("IMPORTRANGE(""https://docs.google.com/spreadsheets/d/1SX6NBoVAgQJ6U1MVXOaj8PK2l7WJ3RER9xtqwdhxkhw/edit?usp=sharing"",""สระแก้ว!M499"")"),3600.0)</f>
        <v>3600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IFERROR(__xludf.DUMMYFUNCTION("IMPORTRANGE(""https://docs.google.com/spreadsheets/d/1SX6NBoVAgQJ6U1MVXOaj8PK2l7WJ3RER9xtqwdhxkhw/edit?usp=sharing"",""สระแก้ว!M500"")"),3800.0)</f>
        <v>3800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IFERROR(__xludf.DUMMYFUNCTION("IMPORTRANGE(""https://docs.google.com/spreadsheets/d/1SX6NBoVAgQJ6U1MVXOaj8PK2l7WJ3RER9xtqwdhxkhw/edit?usp=sharing"",""สระแก้ว!J502"")"),0.0)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IFERROR(__xludf.DUMMYFUNCTION("IMPORTRANGE(""https://docs.google.com/spreadsheets/d/1SX6NBoVAgQJ6U1MVXOaj8PK2l7WJ3RER9xtqwdhxkhw/edit?usp=sharing"",""สระแก้ว!J503"")"),1.0)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IFERROR(__xludf.DUMMYFUNCTION("IMPORTRANGE(""https://docs.google.com/spreadsheets/d/1SX6NBoVAgQJ6U1MVXOaj8PK2l7WJ3RER9xtqwdhxkhw/edit?usp=sharing"",""สระแก้ว!J166"")"),0.0)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IFERROR(__xludf.DUMMYFUNCTION("IMPORTRANGE(""https://docs.google.com/spreadsheets/d/1SX6NBoVAgQJ6U1MVXOaj8PK2l7WJ3RER9xtqwdhxkhw/edit?usp=sharing"",""สระแก้ว!J166"")"),0.0)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IFERROR(__xludf.DUMMYFUNCTION("IMPORTRANGE(""https://docs.google.com/spreadsheets/d/1SX6NBoVAgQJ6U1MVXOaj8PK2l7WJ3RER9xtqwdhxkhw/edit?usp=sharing"",""สระแก้ว!I506"")"),100.0)</f>
        <v>100</v>
      </c>
      <c r="J611" s="195">
        <f>IFERROR(__xludf.DUMMYFUNCTION("IMPORTRANGE(""https://docs.google.com/spreadsheets/d/1SX6NBoVAgQJ6U1MVXOaj8PK2l7WJ3RER9xtqwdhxkhw/edit?usp=sharing"",""สระแก้ว!J506"")"),0.0)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IFERROR(__xludf.DUMMYFUNCTION("IMPORTRANGE(""https://docs.google.com/spreadsheets/d/1SX6NBoVAgQJ6U1MVXOaj8PK2l7WJ3RER9xtqwdhxkhw/edit?usp=sharing"",""สระแก้ว!I507"")"),0.0)</f>
        <v>0</v>
      </c>
      <c r="J612" s="232">
        <f>IFERROR(__xludf.DUMMYFUNCTION("IMPORTRANGE(""https://docs.google.com/spreadsheets/d/1SX6NBoVAgQJ6U1MVXOaj8PK2l7WJ3RER9xtqwdhxkhw/edit?usp=sharing"",""สระแก้ว!J507"")"),0.0)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IFERROR(__xludf.DUMMYFUNCTION("IMPORTRANGE(""https://docs.google.com/spreadsheets/d/1SX6NBoVAgQJ6U1MVXOaj8PK2l7WJ3RER9xtqwdhxkhw/edit?usp=sharing"",""สระแก้ว!I508"")"),0.0)</f>
        <v>0</v>
      </c>
      <c r="J613" s="232">
        <f>IFERROR(__xludf.DUMMYFUNCTION("IMPORTRANGE(""https://docs.google.com/spreadsheets/d/1SX6NBoVAgQJ6U1MVXOaj8PK2l7WJ3RER9xtqwdhxkhw/edit?usp=sharing"",""สระแก้ว!J508"")"),0.0)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IFERROR(__xludf.DUMMYFUNCTION("IMPORTRANGE(""https://docs.google.com/spreadsheets/d/1SX6NBoVAgQJ6U1MVXOaj8PK2l7WJ3RER9xtqwdhxkhw/edit?usp=sharing"",""สระแก้ว!I509"")"),0.0)</f>
        <v>0</v>
      </c>
      <c r="J614" s="232">
        <f>IFERROR(__xludf.DUMMYFUNCTION("IMPORTRANGE(""https://docs.google.com/spreadsheets/d/1SX6NBoVAgQJ6U1MVXOaj8PK2l7WJ3RER9xtqwdhxkhw/edit?usp=sharing"",""สระแก้ว!J509"")"),0.0)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IFERROR(__xludf.DUMMYFUNCTION("IMPORTRANGE(""https://docs.google.com/spreadsheets/d/1SX6NBoVAgQJ6U1MVXOaj8PK2l7WJ3RER9xtqwdhxkhw/edit?usp=sharing"",""สระแก้ว!I510"")"),0.0)</f>
        <v>0</v>
      </c>
      <c r="J615" s="232">
        <f>IFERROR(__xludf.DUMMYFUNCTION("IMPORTRANGE(""https://docs.google.com/spreadsheets/d/1SX6NBoVAgQJ6U1MVXOaj8PK2l7WJ3RER9xtqwdhxkhw/edit?usp=sharing"",""สระแก้ว!J510"")"),0.0)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IFERROR(__xludf.DUMMYFUNCTION("IMPORTRANGE(""https://docs.google.com/spreadsheets/d/1SX6NBoVAgQJ6U1MVXOaj8PK2l7WJ3RER9xtqwdhxkhw/edit?usp=sharing"",""สระแก้ว!I511"")"),0.0)</f>
        <v>0</v>
      </c>
      <c r="J616" s="232">
        <f>IFERROR(__xludf.DUMMYFUNCTION("IMPORTRANGE(""https://docs.google.com/spreadsheets/d/1SX6NBoVAgQJ6U1MVXOaj8PK2l7WJ3RER9xtqwdhxkhw/edit?usp=sharing"",""สระแก้ว!J511"")"),0.0)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IFERROR(__xludf.DUMMYFUNCTION("IMPORTRANGE(""https://docs.google.com/spreadsheets/d/1SX6NBoVAgQJ6U1MVXOaj8PK2l7WJ3RER9xtqwdhxkhw/edit?usp=sharing"",""สระแก้ว!I512"")"),0.0)</f>
        <v>0</v>
      </c>
      <c r="J617" s="222">
        <f>IFERROR(__xludf.DUMMYFUNCTION("IMPORTRANGE(""https://docs.google.com/spreadsheets/d/1SX6NBoVAgQJ6U1MVXOaj8PK2l7WJ3RER9xtqwdhxkhw/edit?usp=sharing"",""สระแก้ว!J512"")"),0.0)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IFERROR(__xludf.DUMMYFUNCTION("IMPORTRANGE(""https://docs.google.com/spreadsheets/d/1SX6NBoVAgQJ6U1MVXOaj8PK2l7WJ3RER9xtqwdhxkhw/edit?usp=sharing"",""สระแก้ว!I513"")"),0.0)</f>
        <v>0</v>
      </c>
      <c r="J618" s="223">
        <f>IFERROR(__xludf.DUMMYFUNCTION("IMPORTRANGE(""https://docs.google.com/spreadsheets/d/1SX6NBoVAgQJ6U1MVXOaj8PK2l7WJ3RER9xtqwdhxkhw/edit?usp=sharing"",""สระแก้ว!J513"")"),0.0)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IFERROR(__xludf.DUMMYFUNCTION("IMPORTRANGE(""https://docs.google.com/spreadsheets/d/1SX6NBoVAgQJ6U1MVXOaj8PK2l7WJ3RER9xtqwdhxkhw/edit?usp=sharing"",""สระแก้ว!I514"")"),0.0)</f>
        <v>0</v>
      </c>
      <c r="J619" s="223">
        <f>IFERROR(__xludf.DUMMYFUNCTION("IMPORTRANGE(""https://docs.google.com/spreadsheets/d/1SX6NBoVAgQJ6U1MVXOaj8PK2l7WJ3RER9xtqwdhxkhw/edit?usp=sharing"",""สระแก้ว!J514"")"),0.0)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IFERROR(__xludf.DUMMYFUNCTION("IMPORTRANGE(""https://docs.google.com/spreadsheets/d/1SX6NBoVAgQJ6U1MVXOaj8PK2l7WJ3RER9xtqwdhxkhw/edit?usp=sharing"",""สระแก้ว!I515"")"),0.0)</f>
        <v>0</v>
      </c>
      <c r="J620" s="237">
        <f>IFERROR(__xludf.DUMMYFUNCTION("IMPORTRANGE(""https://docs.google.com/spreadsheets/d/1SX6NBoVAgQJ6U1MVXOaj8PK2l7WJ3RER9xtqwdhxkhw/edit?usp=sharing"",""สระแก้ว!J515"")"),0.0)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IFERROR(__xludf.DUMMYFUNCTION("IMPORTRANGE(""https://docs.google.com/spreadsheets/d/1SX6NBoVAgQJ6U1MVXOaj8PK2l7WJ3RER9xtqwdhxkhw/edit?usp=sharing"",""สระแก้ว!I516"")"),0.0)</f>
        <v>0</v>
      </c>
      <c r="J621" s="237">
        <f>IFERROR(__xludf.DUMMYFUNCTION("IMPORTRANGE(""https://docs.google.com/spreadsheets/d/1SX6NBoVAgQJ6U1MVXOaj8PK2l7WJ3RER9xtqwdhxkhw/edit?usp=sharing"",""สระแก้ว!J516"")"),0.0)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IFERROR(__xludf.DUMMYFUNCTION("IMPORTRANGE(""https://docs.google.com/spreadsheets/d/1SX6NBoVAgQJ6U1MVXOaj8PK2l7WJ3RER9xtqwdhxkhw/edit?usp=sharing"",""สระแก้ว!I517"")"),0.0)</f>
        <v>0</v>
      </c>
      <c r="J622" s="223">
        <f>IFERROR(__xludf.DUMMYFUNCTION("IMPORTRANGE(""https://docs.google.com/spreadsheets/d/1SX6NBoVAgQJ6U1MVXOaj8PK2l7WJ3RER9xtqwdhxkhw/edit?usp=sharing"",""สระแก้ว!J517"")"),0.0)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IFERROR(__xludf.DUMMYFUNCTION("IMPORTRANGE(""https://docs.google.com/spreadsheets/d/1SX6NBoVAgQJ6U1MVXOaj8PK2l7WJ3RER9xtqwdhxkhw/edit?usp=sharing"",""สระแก้ว!I518"")"),0.0)</f>
        <v>0</v>
      </c>
      <c r="J623" s="223">
        <f>IFERROR(__xludf.DUMMYFUNCTION("IMPORTRANGE(""https://docs.google.com/spreadsheets/d/1SX6NBoVAgQJ6U1MVXOaj8PK2l7WJ3RER9xtqwdhxkhw/edit?usp=sharing"",""สระแก้ว!J518"")"),0.0)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IFERROR(__xludf.DUMMYFUNCTION("IMPORTRANGE(""https://docs.google.com/spreadsheets/d/1SX6NBoVAgQJ6U1MVXOaj8PK2l7WJ3RER9xtqwdhxkhw/edit?usp=sharing"",""สระแก้ว!I519"")"),0.0)</f>
        <v>0</v>
      </c>
      <c r="J624" s="222">
        <f>IFERROR(__xludf.DUMMYFUNCTION("IMPORTRANGE(""https://docs.google.com/spreadsheets/d/1SX6NBoVAgQJ6U1MVXOaj8PK2l7WJ3RER9xtqwdhxkhw/edit?usp=sharing"",""สระแก้ว!J519"")"),0.0)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IFERROR(__xludf.DUMMYFUNCTION("IMPORTRANGE(""https://docs.google.com/spreadsheets/d/1SX6NBoVAgQJ6U1MVXOaj8PK2l7WJ3RER9xtqwdhxkhw/edit?usp=sharing"",""สระแก้ว!I520"")"),0.0)</f>
        <v>0</v>
      </c>
      <c r="J625" s="223">
        <f>IFERROR(__xludf.DUMMYFUNCTION("IMPORTRANGE(""https://docs.google.com/spreadsheets/d/1SX6NBoVAgQJ6U1MVXOaj8PK2l7WJ3RER9xtqwdhxkhw/edit?usp=sharing"",""สระแก้ว!J520"")"),0.0)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IFERROR(__xludf.DUMMYFUNCTION("IMPORTRANGE(""https://docs.google.com/spreadsheets/d/1SX6NBoVAgQJ6U1MVXOaj8PK2l7WJ3RER9xtqwdhxkhw/edit?usp=sharing"",""สระแก้ว!I521"")"),0.0)</f>
        <v>0</v>
      </c>
      <c r="J626" s="223">
        <f>IFERROR(__xludf.DUMMYFUNCTION("IMPORTRANGE(""https://docs.google.com/spreadsheets/d/1SX6NBoVAgQJ6U1MVXOaj8PK2l7WJ3RER9xtqwdhxkhw/edit?usp=sharing"",""สระแก้ว!J521"")"),0.0)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IFERROR(__xludf.DUMMYFUNCTION("IMPORTRANGE(""https://docs.google.com/spreadsheets/d/1SX6NBoVAgQJ6U1MVXOaj8PK2l7WJ3RER9xtqwdhxkhw/edit?usp=sharing"",""สระแก้ว!I523"")"),8232665.41)</f>
        <v>8232665.41</v>
      </c>
      <c r="J628" s="374">
        <f>IFERROR(__xludf.DUMMYFUNCTION("IMPORTRANGE(""https://docs.google.com/spreadsheets/d/1SX6NBoVAgQJ6U1MVXOaj8PK2l7WJ3RER9xtqwdhxkhw/edit?usp=sharing"",""สระแก้ว!J523"")"),2195780.97)</f>
        <v>2195780.97</v>
      </c>
      <c r="K628" s="375">
        <f t="shared" ref="K628:K635" si="130">IF(I628&gt;0,J628*100/I628,0)</f>
        <v>26.67156821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IFERROR(__xludf.DUMMYFUNCTION("IMPORTRANGE(""https://docs.google.com/spreadsheets/d/1SX6NBoVAgQJ6U1MVXOaj8PK2l7WJ3RER9xtqwdhxkhw/edit?usp=sharing"",""สระแก้ว!I524"")"),586.0)</f>
        <v>586</v>
      </c>
      <c r="J629" s="374">
        <f>IFERROR(__xludf.DUMMYFUNCTION("IMPORTRANGE(""https://docs.google.com/spreadsheets/d/1SX6NBoVAgQJ6U1MVXOaj8PK2l7WJ3RER9xtqwdhxkhw/edit?usp=sharing"",""สระแก้ว!J524"")"),120.0)</f>
        <v>120</v>
      </c>
      <c r="K629" s="375">
        <f t="shared" si="130"/>
        <v>20.4778157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IFERROR(__xludf.DUMMYFUNCTION("IMPORTRANGE(""https://docs.google.com/spreadsheets/d/1SX6NBoVAgQJ6U1MVXOaj8PK2l7WJ3RER9xtqwdhxkhw/edit?usp=sharing"",""สระแก้ว!I525"")"),5399272.16)</f>
        <v>5399272.16</v>
      </c>
      <c r="J630" s="374">
        <f>IFERROR(__xludf.DUMMYFUNCTION("IMPORTRANGE(""https://docs.google.com/spreadsheets/d/1SX6NBoVAgQJ6U1MVXOaj8PK2l7WJ3RER9xtqwdhxkhw/edit?usp=sharing"",""สระแก้ว!J525"")"),617701.0)</f>
        <v>617701</v>
      </c>
      <c r="K630" s="375">
        <f t="shared" si="130"/>
        <v>11.44044941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IFERROR(__xludf.DUMMYFUNCTION("IMPORTRANGE(""https://docs.google.com/spreadsheets/d/1SX6NBoVAgQJ6U1MVXOaj8PK2l7WJ3RER9xtqwdhxkhw/edit?usp=sharing"",""สระแก้ว!I526"")"),242.0)</f>
        <v>242</v>
      </c>
      <c r="J631" s="374">
        <f>IFERROR(__xludf.DUMMYFUNCTION("IMPORTRANGE(""https://docs.google.com/spreadsheets/d/1SX6NBoVAgQJ6U1MVXOaj8PK2l7WJ3RER9xtqwdhxkhw/edit?usp=sharing"",""สระแก้ว!J526"")"),159.0)</f>
        <v>159</v>
      </c>
      <c r="K631" s="375">
        <f t="shared" si="130"/>
        <v>65.70247934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IFERROR(__xludf.DUMMYFUNCTION("IMPORTRANGE(""https://docs.google.com/spreadsheets/d/1SX6NBoVAgQJ6U1MVXOaj8PK2l7WJ3RER9xtqwdhxkhw/edit?usp=sharing"",""สระแก้ว!I527"")"),0.0)</f>
        <v>0</v>
      </c>
      <c r="J632" s="374">
        <f>IFERROR(__xludf.DUMMYFUNCTION("IMPORTRANGE(""https://docs.google.com/spreadsheets/d/1SX6NBoVAgQJ6U1MVXOaj8PK2l7WJ3RER9xtqwdhxkhw/edit?usp=sharing"",""สระแก้ว!J527"")"),0.0)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IFERROR(__xludf.DUMMYFUNCTION("IMPORTRANGE(""https://docs.google.com/spreadsheets/d/1SX6NBoVAgQJ6U1MVXOaj8PK2l7WJ3RER9xtqwdhxkhw/edit?usp=sharing"",""สระแก้ว!I528"")"),0.0)</f>
        <v>0</v>
      </c>
      <c r="J633" s="374">
        <f>IFERROR(__xludf.DUMMYFUNCTION("IMPORTRANGE(""https://docs.google.com/spreadsheets/d/1SX6NBoVAgQJ6U1MVXOaj8PK2l7WJ3RER9xtqwdhxkhw/edit?usp=sharing"",""สระแก้ว!J528"")"),0.0)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IFERROR(__xludf.DUMMYFUNCTION("IMPORTRANGE(""https://docs.google.com/spreadsheets/d/1SX6NBoVAgQJ6U1MVXOaj8PK2l7WJ3RER9xtqwdhxkhw/edit?usp=sharing"",""สระแก้ว!I529"")"),1.0E7)</f>
        <v>10000000</v>
      </c>
      <c r="J634" s="374">
        <f>IFERROR(__xludf.DUMMYFUNCTION("IMPORTRANGE(""https://docs.google.com/spreadsheets/d/1SX6NBoVAgQJ6U1MVXOaj8PK2l7WJ3RER9xtqwdhxkhw/edit?usp=sharing"",""สระแก้ว!J529"")"),2000000.0)</f>
        <v>2000000</v>
      </c>
      <c r="K634" s="375">
        <f t="shared" si="130"/>
        <v>20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IFERROR(__xludf.DUMMYFUNCTION("IMPORTRANGE(""https://docs.google.com/spreadsheets/d/1SX6NBoVAgQJ6U1MVXOaj8PK2l7WJ3RER9xtqwdhxkhw/edit?usp=sharing"",""สระแก้ว!I530"")"),250.0)</f>
        <v>250</v>
      </c>
      <c r="J635" s="544">
        <f>IFERROR(__xludf.DUMMYFUNCTION("IMPORTRANGE(""https://docs.google.com/spreadsheets/d/1SX6NBoVAgQJ6U1MVXOaj8PK2l7WJ3RER9xtqwdhxkhw/edit?usp=sharing"",""สระแก้ว!J530"")"),53.0)</f>
        <v>53</v>
      </c>
      <c r="K635" s="519">
        <f t="shared" si="130"/>
        <v>21.2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273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4157534</v>
      </c>
      <c r="M8" s="41">
        <f t="shared" si="1"/>
        <v>1567358</v>
      </c>
      <c r="N8" s="41">
        <f t="shared" si="1"/>
        <v>1135277</v>
      </c>
      <c r="O8" s="40">
        <f t="shared" ref="O8:O16" si="3">IF(L8&gt;0,N8*100/L8,0)</f>
        <v>27.30649948</v>
      </c>
      <c r="P8" s="40">
        <f t="shared" ref="P8:P16" si="4">IF(M8&gt;0,N8*100/M8,0)</f>
        <v>72.43252658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4157534</v>
      </c>
      <c r="M10" s="48">
        <f t="shared" si="5"/>
        <v>1567358</v>
      </c>
      <c r="N10" s="48">
        <f t="shared" si="5"/>
        <v>1135277</v>
      </c>
      <c r="O10" s="47">
        <f t="shared" si="3"/>
        <v>27.30649948</v>
      </c>
      <c r="P10" s="47">
        <f t="shared" si="4"/>
        <v>72.43252658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4033134</v>
      </c>
      <c r="M12" s="58">
        <f t="shared" si="7"/>
        <v>1567358</v>
      </c>
      <c r="N12" s="58">
        <f t="shared" si="7"/>
        <v>1103277</v>
      </c>
      <c r="O12" s="58">
        <f t="shared" si="3"/>
        <v>27.35532715</v>
      </c>
      <c r="P12" s="58">
        <f t="shared" si="4"/>
        <v>70.39087432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1863300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2169834</v>
      </c>
      <c r="M14" s="58">
        <f t="shared" si="9"/>
        <v>0</v>
      </c>
      <c r="N14" s="58">
        <f t="shared" si="9"/>
        <v>47900</v>
      </c>
      <c r="O14" s="61">
        <f t="shared" si="3"/>
        <v>2.207542144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124400</v>
      </c>
      <c r="M16" s="58">
        <f t="shared" si="11"/>
        <v>0</v>
      </c>
      <c r="N16" s="58">
        <f t="shared" si="11"/>
        <v>32000</v>
      </c>
      <c r="O16" s="70">
        <f t="shared" si="3"/>
        <v>25.72347267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2843720</v>
      </c>
      <c r="M18" s="41">
        <f t="shared" si="12"/>
        <v>1567358</v>
      </c>
      <c r="N18" s="41">
        <f t="shared" si="12"/>
        <v>1087377</v>
      </c>
      <c r="O18" s="40">
        <f t="shared" ref="O18:O20" si="14">IF(L18&gt;0,N18*100/L18,0)</f>
        <v>38.23783636</v>
      </c>
      <c r="P18" s="40">
        <f t="shared" ref="P18:P26" si="15">IF(M18&gt;0,N18*100/M18,0)</f>
        <v>69.37642836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2843720</v>
      </c>
      <c r="M20" s="48">
        <f t="shared" si="16"/>
        <v>1567358</v>
      </c>
      <c r="N20" s="48">
        <f t="shared" si="16"/>
        <v>1087377</v>
      </c>
      <c r="O20" s="47">
        <f t="shared" si="14"/>
        <v>38.23783636</v>
      </c>
      <c r="P20" s="47">
        <f t="shared" si="15"/>
        <v>69.37642836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2719320</v>
      </c>
      <c r="M22" s="62">
        <f t="shared" si="18"/>
        <v>1567358</v>
      </c>
      <c r="N22" s="61">
        <f t="shared" si="18"/>
        <v>1055377</v>
      </c>
      <c r="O22" s="61">
        <f t="shared" si="19"/>
        <v>38.81032758</v>
      </c>
      <c r="P22" s="61">
        <f t="shared" si="15"/>
        <v>67.3347761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1863300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856020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124400</v>
      </c>
      <c r="M26" s="70">
        <f t="shared" si="23"/>
        <v>0</v>
      </c>
      <c r="N26" s="70">
        <f t="shared" si="23"/>
        <v>32000</v>
      </c>
      <c r="O26" s="70">
        <f t="shared" si="19"/>
        <v>25.72347267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1313814</v>
      </c>
      <c r="M28" s="41">
        <f t="shared" si="24"/>
        <v>0</v>
      </c>
      <c r="N28" s="41">
        <f t="shared" si="24"/>
        <v>47900</v>
      </c>
      <c r="O28" s="40">
        <f t="shared" ref="O28:O30" si="26">IF(L28&gt;0,N28*100/L28,0)</f>
        <v>3.645873769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1313814</v>
      </c>
      <c r="M30" s="48">
        <f t="shared" si="28"/>
        <v>0</v>
      </c>
      <c r="N30" s="48">
        <f t="shared" si="28"/>
        <v>47900</v>
      </c>
      <c r="O30" s="47">
        <f t="shared" si="26"/>
        <v>3.645873769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1313814</v>
      </c>
      <c r="M32" s="61">
        <f t="shared" si="30"/>
        <v>0</v>
      </c>
      <c r="N32" s="61">
        <f t="shared" si="30"/>
        <v>47900</v>
      </c>
      <c r="O32" s="61">
        <f t="shared" si="31"/>
        <v>3.645873769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1313814</v>
      </c>
      <c r="M34" s="61">
        <f t="shared" si="33"/>
        <v>0</v>
      </c>
      <c r="N34" s="61">
        <f t="shared" si="33"/>
        <v>47900</v>
      </c>
      <c r="O34" s="61">
        <f t="shared" si="31"/>
        <v>3.645873769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2843720</v>
      </c>
      <c r="M37" s="75">
        <f t="shared" si="34"/>
        <v>1567358</v>
      </c>
      <c r="N37" s="75">
        <f t="shared" si="34"/>
        <v>1087377</v>
      </c>
      <c r="O37" s="76">
        <f t="shared" si="31"/>
        <v>38.23783636</v>
      </c>
      <c r="P37" s="76">
        <f t="shared" si="27"/>
        <v>69.37642836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640100</v>
      </c>
      <c r="M41" s="102">
        <f t="shared" si="35"/>
        <v>420100</v>
      </c>
      <c r="N41" s="102">
        <f t="shared" si="35"/>
        <v>350465</v>
      </c>
      <c r="O41" s="101">
        <f t="shared" ref="O41:O43" si="37">IF(L41&gt;0,N41*100/L41,0)</f>
        <v>54.75160131</v>
      </c>
      <c r="P41" s="101">
        <f t="shared" ref="P41:P43" si="38">IF(M41&gt;0,N41*100/M41,0)</f>
        <v>83.42418472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640100</v>
      </c>
      <c r="M43" s="102">
        <f t="shared" si="39"/>
        <v>420100</v>
      </c>
      <c r="N43" s="102">
        <f t="shared" si="39"/>
        <v>350465</v>
      </c>
      <c r="O43" s="101">
        <f t="shared" si="37"/>
        <v>54.75160131</v>
      </c>
      <c r="P43" s="101">
        <f t="shared" si="38"/>
        <v>83.42418472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640100</v>
      </c>
      <c r="M45" s="115">
        <f>IFERROR(__xludf.DUMMYFUNCTION("IMPORTRANGE(""https://docs.google.com/spreadsheets/d/1Yj_ptqi66GCucihVvJfMjLAmec39IyEx_6qawtMGysU/edit?usp=sharing"",""สบก!Q76"")"),420100.0)</f>
        <v>420100</v>
      </c>
      <c r="N45" s="115">
        <f>IFERROR(__xludf.DUMMYFUNCTION("IMPORTRANGE(""https://docs.google.com/spreadsheets/d/1Yj_ptqi66GCucihVvJfMjLAmec39IyEx_6qawtMGysU/edit?usp=sharing"",""สบก!R76"")"),350465.0)</f>
        <v>350465</v>
      </c>
      <c r="O45" s="116">
        <f>IF(L45&gt;0,N45*100/L45,0)</f>
        <v>54.75160131</v>
      </c>
      <c r="P45" s="116">
        <f>IF(M45&gt;0,N45*100/M45,0)</f>
        <v>83.42418472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IFERROR(__xludf.DUMMYFUNCTION("IMPORTRANGE(""https://docs.google.com/spreadsheets/d/1Yj_ptqi66GCucihVvJfMjLAmec39IyEx_6qawtMGysU/edit?usp=sharing"",""สบก!M76"")"),640100.0)</f>
        <v>640100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IFERROR(__xludf.DUMMYFUNCTION("IMPORTRANGE(""https://docs.google.com/spreadsheets/d/1Yj_ptqi66GCucihVvJfMjLAmec39IyEx_6qawtMGysU/edit?usp=sharing"",""สบก!N76"")"),0.0)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IFERROR(__xludf.DUMMYFUNCTION("IMPORTRANGE(""https://docs.google.com/spreadsheets/d/1Yj_ptqi66GCucihVvJfMjLAmec39IyEx_6qawtMGysU/edit?usp=sharing"",""สบก!O76"")"),0.0)</f>
        <v>0</v>
      </c>
      <c r="M49" s="125"/>
      <c r="N49" s="115">
        <f>IFERROR(__xludf.DUMMYFUNCTION("IMPORTRANGE(""https://docs.google.com/spreadsheets/d/1Yj_ptqi66GCucihVvJfMjLAmec39IyEx_6qawtMGysU/edit?usp=sharing"",""สบก!S76"")"),0.0)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450000</v>
      </c>
      <c r="M53" s="151">
        <f t="shared" si="40"/>
        <v>238058</v>
      </c>
      <c r="N53" s="151">
        <f t="shared" si="40"/>
        <v>179896</v>
      </c>
      <c r="O53" s="150">
        <f t="shared" ref="O53:O55" si="42">IF(L53&gt;0,N53*100/L53,0)</f>
        <v>39.97688889</v>
      </c>
      <c r="P53" s="150">
        <f t="shared" ref="P53:P55" si="43">IF(M53&gt;0,N53*100/M53,0)</f>
        <v>75.56813886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450000</v>
      </c>
      <c r="M55" s="151">
        <f t="shared" si="44"/>
        <v>238058</v>
      </c>
      <c r="N55" s="151">
        <f t="shared" si="44"/>
        <v>179896</v>
      </c>
      <c r="O55" s="150">
        <f t="shared" si="42"/>
        <v>39.97688889</v>
      </c>
      <c r="P55" s="150">
        <f t="shared" si="43"/>
        <v>75.56813886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450000</v>
      </c>
      <c r="M57" s="115">
        <f>IFERROR(__xludf.DUMMYFUNCTION("IMPORTRANGE(""https://docs.google.com/spreadsheets/d/1Yj_ptqi66GCucihVvJfMjLAmec39IyEx_6qawtMGysU/edit?usp=sharing"",""สบก!Z76"")"),238058.0)</f>
        <v>238058</v>
      </c>
      <c r="N57" s="115">
        <f>IFERROR(__xludf.DUMMYFUNCTION("IMPORTRANGE(""https://docs.google.com/spreadsheets/d/1Yj_ptqi66GCucihVvJfMjLAmec39IyEx_6qawtMGysU/edit?usp=sharing"",""สบก!AA76"")"),179896.0)</f>
        <v>179896</v>
      </c>
      <c r="O57" s="116">
        <f>IF(L57&gt;0,N57*100/L57,0)</f>
        <v>39.97688889</v>
      </c>
      <c r="P57" s="116">
        <f>IF(M57&gt;0,N57*100/M57,0)</f>
        <v>75.56813886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IFERROR(__xludf.DUMMYFUNCTION("IMPORTRANGE(""https://docs.google.com/spreadsheets/d/1Yj_ptqi66GCucihVvJfMjLAmec39IyEx_6qawtMGysU/edit?usp=sharing"",""สบก!V76"")"),450000.0)</f>
        <v>450000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IFERROR(__xludf.DUMMYFUNCTION("IMPORTRANGE(""https://docs.google.com/spreadsheets/d/1Yj_ptqi66GCucihVvJfMjLAmec39IyEx_6qawtMGysU/edit?usp=sharing"",""สบก!W76"")"),0.0)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IFERROR(__xludf.DUMMYFUNCTION("IMPORTRANGE(""https://docs.google.com/spreadsheets/d/1Yj_ptqi66GCucihVvJfMjLAmec39IyEx_6qawtMGysU/edit?usp=sharing"",""สบก!X76"")"),0.0)</f>
        <v>0</v>
      </c>
      <c r="M61" s="125"/>
      <c r="N61" s="115">
        <f>IFERROR(__xludf.DUMMYFUNCTION("IMPORTRANGE(""https://docs.google.com/spreadsheets/d/1Yj_ptqi66GCucihVvJfMjLAmec39IyEx_6qawtMGysU/edit?usp=sharing"",""สบก!AB76"")"),0.0)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IFERROR(__xludf.DUMMYFUNCTION("IMPORTRANGE(""https://docs.google.com/spreadsheets/d/1SX6NBoVAgQJ6U1MVXOaj8PK2l7WJ3RER9xtqwdhxkhw/edit?usp=sharing"",""สระบุรี!I9"")"),0.0)</f>
        <v>0</v>
      </c>
      <c r="J64" s="172">
        <f>IFERROR(__xludf.DUMMYFUNCTION("IMPORTRANGE(""https://docs.google.com/spreadsheets/d/1SX6NBoVAgQJ6U1MVXOaj8PK2l7WJ3RER9xtqwdhxkhw/edit?usp=sharing"",""สระบุรี!J9"")"),0.0)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IFERROR(__xludf.DUMMYFUNCTION("IMPORTRANGE(""https://docs.google.com/spreadsheets/d/1SX6NBoVAgQJ6U1MVXOaj8PK2l7WJ3RER9xtqwdhxkhw/edit?usp=sharing"",""สระบุรี!I10"")"),0.0)</f>
        <v>0</v>
      </c>
      <c r="J65" s="172">
        <f>IFERROR(__xludf.DUMMYFUNCTION("IMPORTRANGE(""https://docs.google.com/spreadsheets/d/1SX6NBoVAgQJ6U1MVXOaj8PK2l7WJ3RER9xtqwdhxkhw/edit?usp=sharing"",""สระบุรี!J10"")"),0.0)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IFERROR(__xludf.DUMMYFUNCTION("IMPORTRANGE(""https://docs.google.com/spreadsheets/d/1Yj_ptqi66GCucihVvJfMjLAmec39IyEx_6qawtMGysU/edit?usp=sharing"",""สบก!AI76"")"),0.0)</f>
        <v>0</v>
      </c>
      <c r="N70" s="202">
        <f>IFERROR(__xludf.DUMMYFUNCTION("IMPORTRANGE(""https://docs.google.com/spreadsheets/d/1Yj_ptqi66GCucihVvJfMjLAmec39IyEx_6qawtMGysU/edit?usp=sharing"",""สบก!AJ76"")"),0.0)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IFERROR(__xludf.DUMMYFUNCTION("IMPORTRANGE(""https://docs.google.com/spreadsheets/d/1Yj_ptqi66GCucihVvJfMjLAmec39IyEx_6qawtMGysU/edit?usp=sharing"",""สบก!AE76"")"),0.0)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IFERROR(__xludf.DUMMYFUNCTION("IMPORTRANGE(""https://docs.google.com/spreadsheets/d/1Yj_ptqi66GCucihVvJfMjLAmec39IyEx_6qawtMGysU/edit?usp=sharing"",""สบก!AF76"")"),0.0)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IFERROR(__xludf.DUMMYFUNCTION("IMPORTRANGE(""https://docs.google.com/spreadsheets/d/1Yj_ptqi66GCucihVvJfMjLAmec39IyEx_6qawtMGysU/edit?usp=sharing"",""สบก!AG76"")"),0.0)</f>
        <v>0</v>
      </c>
      <c r="M74" s="125"/>
      <c r="N74" s="115">
        <f>IFERROR(__xludf.DUMMYFUNCTION("IMPORTRANGE(""https://docs.google.com/spreadsheets/d/1Yj_ptqi66GCucihVvJfMjLAmec39IyEx_6qawtMGysU/edit?usp=sharing"",""สบก!AK76"")"),0.0)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IFERROR(__xludf.DUMMYFUNCTION("IMPORTRANGE(""https://docs.google.com/spreadsheets/d/1SX6NBoVAgQJ6U1MVXOaj8PK2l7WJ3RER9xtqwdhxkhw/edit?usp=sharing"",""สระบุรี!J16"")"),0.0)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IFERROR(__xludf.DUMMYFUNCTION("IMPORTRANGE(""https://docs.google.com/spreadsheets/d/1SX6NBoVAgQJ6U1MVXOaj8PK2l7WJ3RER9xtqwdhxkhw/edit?usp=sharing"",""สระบุรี!J17"")"),0.0)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IFERROR(__xludf.DUMMYFUNCTION("IMPORTRANGE(""https://docs.google.com/spreadsheets/d/1SX6NBoVAgQJ6U1MVXOaj8PK2l7WJ3RER9xtqwdhxkhw/edit?usp=sharing"",""สระบุรี!J18"")"),0.0)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IFERROR(__xludf.DUMMYFUNCTION("IMPORTRANGE(""https://docs.google.com/spreadsheets/d/1SX6NBoVAgQJ6U1MVXOaj8PK2l7WJ3RER9xtqwdhxkhw/edit?usp=sharing"",""สระบุรี!J19"")"),0.0)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IFERROR(__xludf.DUMMYFUNCTION("IMPORTRANGE(""https://docs.google.com/spreadsheets/d/1SX6NBoVAgQJ6U1MVXOaj8PK2l7WJ3RER9xtqwdhxkhw/edit?usp=sharing"",""สระบุรี!I20"")"),0.0)</f>
        <v>0</v>
      </c>
      <c r="J80" s="235">
        <f>IFERROR(__xludf.DUMMYFUNCTION("IMPORTRANGE(""https://docs.google.com/spreadsheets/d/1SX6NBoVAgQJ6U1MVXOaj8PK2l7WJ3RER9xtqwdhxkhw/edit?usp=sharing"",""สระบุรี!J20"")"),0.0)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IFERROR(__xludf.DUMMYFUNCTION("IMPORTRANGE(""https://docs.google.com/spreadsheets/d/1SX6NBoVAgQJ6U1MVXOaj8PK2l7WJ3RER9xtqwdhxkhw/edit?usp=sharing"",""สระบุรี!I21"")"),0.0)</f>
        <v>0</v>
      </c>
      <c r="J81" s="235">
        <f>IFERROR(__xludf.DUMMYFUNCTION("IMPORTRANGE(""https://docs.google.com/spreadsheets/d/1SX6NBoVAgQJ6U1MVXOaj8PK2l7WJ3RER9xtqwdhxkhw/edit?usp=sharing"",""สระบุรี!J21"")"),0.0)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IFERROR(__xludf.DUMMYFUNCTION("IMPORTRANGE(""https://docs.google.com/spreadsheets/d/1SX6NBoVAgQJ6U1MVXOaj8PK2l7WJ3RER9xtqwdhxkhw/edit?usp=sharing"",""สระบุรี!I22"")"),0.0)</f>
        <v>0</v>
      </c>
      <c r="J82" s="238">
        <f>IFERROR(__xludf.DUMMYFUNCTION("IMPORTRANGE(""https://docs.google.com/spreadsheets/d/1SX6NBoVAgQJ6U1MVXOaj8PK2l7WJ3RER9xtqwdhxkhw/edit?usp=sharing"",""สระบุรี!J22"")"),0.0)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IFERROR(__xludf.DUMMYFUNCTION("IMPORTRANGE(""https://docs.google.com/spreadsheets/d/1SX6NBoVAgQJ6U1MVXOaj8PK2l7WJ3RER9xtqwdhxkhw/edit?usp=sharing"",""สระบุรี!I23"")"),0.0)</f>
        <v>0</v>
      </c>
      <c r="J83" s="238">
        <f>IFERROR(__xludf.DUMMYFUNCTION("IMPORTRANGE(""https://docs.google.com/spreadsheets/d/1SX6NBoVAgQJ6U1MVXOaj8PK2l7WJ3RER9xtqwdhxkhw/edit?usp=sharing"",""สระบุรี!J23"")"),0.0)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IFERROR(__xludf.DUMMYFUNCTION("IMPORTRANGE(""https://docs.google.com/spreadsheets/d/1SX6NBoVAgQJ6U1MVXOaj8PK2l7WJ3RER9xtqwdhxkhw/edit?usp=sharing"",""สระบุรี!I24"")"),0.0)</f>
        <v>0</v>
      </c>
      <c r="J84" s="223">
        <f>IFERROR(__xludf.DUMMYFUNCTION("IMPORTRANGE(""https://docs.google.com/spreadsheets/d/1SX6NBoVAgQJ6U1MVXOaj8PK2l7WJ3RER9xtqwdhxkhw/edit?usp=sharing"",""สระบุรี!J24"")"),0.0)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IFERROR(__xludf.DUMMYFUNCTION("IMPORTRANGE(""https://docs.google.com/spreadsheets/d/1SX6NBoVAgQJ6U1MVXOaj8PK2l7WJ3RER9xtqwdhxkhw/edit?usp=sharing"",""สระบุรี!I25"")"),0.0)</f>
        <v>0</v>
      </c>
      <c r="J85" s="223">
        <f>IFERROR(__xludf.DUMMYFUNCTION("IMPORTRANGE(""https://docs.google.com/spreadsheets/d/1SX6NBoVAgQJ6U1MVXOaj8PK2l7WJ3RER9xtqwdhxkhw/edit?usp=sharing"",""สระบุรี!J25"")"),0.0)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IFERROR(__xludf.DUMMYFUNCTION("IMPORTRANGE(""https://docs.google.com/spreadsheets/d/1SX6NBoVAgQJ6U1MVXOaj8PK2l7WJ3RER9xtqwdhxkhw/edit?usp=sharing"",""สระบุรี!I26"")"),0.0)</f>
        <v>0</v>
      </c>
      <c r="J86" s="238">
        <f>IFERROR(__xludf.DUMMYFUNCTION("IMPORTRANGE(""https://docs.google.com/spreadsheets/d/1SX6NBoVAgQJ6U1MVXOaj8PK2l7WJ3RER9xtqwdhxkhw/edit?usp=sharing"",""สระบุรี!J26"")"),0.0)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IFERROR(__xludf.DUMMYFUNCTION("IMPORTRANGE(""https://docs.google.com/spreadsheets/d/1SX6NBoVAgQJ6U1MVXOaj8PK2l7WJ3RER9xtqwdhxkhw/edit?usp=sharing"",""สระบุรี!I27"")"),0.0)</f>
        <v>0</v>
      </c>
      <c r="J87" s="238">
        <f>IFERROR(__xludf.DUMMYFUNCTION("IMPORTRANGE(""https://docs.google.com/spreadsheets/d/1SX6NBoVAgQJ6U1MVXOaj8PK2l7WJ3RER9xtqwdhxkhw/edit?usp=sharing"",""สระบุรี!J27"")"),0.0)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IFERROR(__xludf.DUMMYFUNCTION("IMPORTRANGE(""https://docs.google.com/spreadsheets/d/1SX6NBoVAgQJ6U1MVXOaj8PK2l7WJ3RER9xtqwdhxkhw/edit?usp=sharing"",""สระบุรี!I28"")"),0.0)</f>
        <v>0</v>
      </c>
      <c r="J88" s="238">
        <f>IFERROR(__xludf.DUMMYFUNCTION("IMPORTRANGE(""https://docs.google.com/spreadsheets/d/1SX6NBoVAgQJ6U1MVXOaj8PK2l7WJ3RER9xtqwdhxkhw/edit?usp=sharing"",""สระบุรี!J28"")"),0.0)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IFERROR(__xludf.DUMMYFUNCTION("IMPORTRANGE(""https://docs.google.com/spreadsheets/d/1SX6NBoVAgQJ6U1MVXOaj8PK2l7WJ3RER9xtqwdhxkhw/edit?usp=sharing"",""สระบุรี!J29"")"),0.0)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IFERROR(__xludf.DUMMYFUNCTION("IMPORTRANGE(""https://docs.google.com/spreadsheets/d/1SX6NBoVAgQJ6U1MVXOaj8PK2l7WJ3RER9xtqwdhxkhw/edit?usp=sharing"",""สระบุรี!J30"")"),0.0)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IFERROR(__xludf.DUMMYFUNCTION("IMPORTRANGE(""https://docs.google.com/spreadsheets/d/1SX6NBoVAgQJ6U1MVXOaj8PK2l7WJ3RER9xtqwdhxkhw/edit?usp=sharing"",""สระบุรี!I32"")"),4.0)</f>
        <v>4</v>
      </c>
      <c r="J92" s="172">
        <f>IFERROR(__xludf.DUMMYFUNCTION("IMPORTRANGE(""https://docs.google.com/spreadsheets/d/1SX6NBoVAgQJ6U1MVXOaj8PK2l7WJ3RER9xtqwdhxkhw/edit?usp=sharing"",""สระบุรี!J32"")"),4.0)</f>
        <v>4</v>
      </c>
      <c r="K92" s="173">
        <f t="shared" ref="K92:K93" si="52">IF(I92&gt;0,J92*100/I92,0)</f>
        <v>100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IFERROR(__xludf.DUMMYFUNCTION("IMPORTRANGE(""https://docs.google.com/spreadsheets/d/1SX6NBoVAgQJ6U1MVXOaj8PK2l7WJ3RER9xtqwdhxkhw/edit?usp=sharing"",""สระบุรี!I33"")"),1.0)</f>
        <v>1</v>
      </c>
      <c r="J93" s="172">
        <f>IFERROR(__xludf.DUMMYFUNCTION("IMPORTRANGE(""https://docs.google.com/spreadsheets/d/1SX6NBoVAgQJ6U1MVXOaj8PK2l7WJ3RER9xtqwdhxkhw/edit?usp=sharing"",""สระบุรี!J33"")"),0.0)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16580</v>
      </c>
      <c r="O94" s="182">
        <f t="shared" ref="O94:O96" si="55">IF(L94&gt;0,N94*100/L94,0)</f>
        <v>7.72960373</v>
      </c>
      <c r="P94" s="182">
        <f t="shared" ref="P94:P96" si="56">IF(M94&gt;0,N94*100/M94,0)</f>
        <v>24.12338135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16580</v>
      </c>
      <c r="O96" s="187">
        <f t="shared" si="55"/>
        <v>7.72960373</v>
      </c>
      <c r="P96" s="187">
        <f t="shared" si="56"/>
        <v>24.12338135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IFERROR(__xludf.DUMMYFUNCTION("IMPORTRANGE(""https://docs.google.com/spreadsheets/d/1Yj_ptqi66GCucihVvJfMjLAmec39IyEx_6qawtMGysU/edit?usp=sharing"",""สบก!AR76"")"),68730.0)</f>
        <v>68730</v>
      </c>
      <c r="N98" s="202">
        <f>IFERROR(__xludf.DUMMYFUNCTION("IMPORTRANGE(""https://docs.google.com/spreadsheets/d/1Yj_ptqi66GCucihVvJfMjLAmec39IyEx_6qawtMGysU/edit?usp=sharing"",""สบก!AS76"")"),16580.0)</f>
        <v>16580</v>
      </c>
      <c r="O98" s="203">
        <f>IF(L98&gt;0,N98*100/L98,0)</f>
        <v>13.57903358</v>
      </c>
      <c r="P98" s="203">
        <f>IF(M98&gt;0,N98*100/M98,0)</f>
        <v>24.12338135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IFERROR(__xludf.DUMMYFUNCTION("IMPORTRANGE(""https://docs.google.com/spreadsheets/d/1Yj_ptqi66GCucihVvJfMjLAmec39IyEx_6qawtMGysU/edit?usp=sharing"",""สบก!AN76"")"),0.0)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IFERROR(__xludf.DUMMYFUNCTION("IMPORTRANGE(""https://docs.google.com/spreadsheets/d/1Yj_ptqi66GCucihVvJfMjLAmec39IyEx_6qawtMGysU/edit?usp=sharing"",""สบก!AO76"")"),122100.0)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IFERROR(__xludf.DUMMYFUNCTION("IMPORTRANGE(""https://docs.google.com/spreadsheets/d/1Yj_ptqi66GCucihVvJfMjLAmec39IyEx_6qawtMGysU/edit?usp=sharing"",""สบก!AP76"")"),92400.0)</f>
        <v>92400</v>
      </c>
      <c r="M102" s="125"/>
      <c r="N102" s="115">
        <f>IFERROR(__xludf.DUMMYFUNCTION("IMPORTRANGE(""https://docs.google.com/spreadsheets/d/1Yj_ptqi66GCucihVvJfMjLAmec39IyEx_6qawtMGysU/edit?usp=sharing"",""สบก!AT76"")"),0.0)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IFERROR(__xludf.DUMMYFUNCTION("IMPORTRANGE(""https://docs.google.com/spreadsheets/d/1SX6NBoVAgQJ6U1MVXOaj8PK2l7WJ3RER9xtqwdhxkhw/edit?usp=sharing"",""สระบุรี!J39"")"),0.0)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IFERROR(__xludf.DUMMYFUNCTION("IMPORTRANGE(""https://docs.google.com/spreadsheets/d/1SX6NBoVAgQJ6U1MVXOaj8PK2l7WJ3RER9xtqwdhxkhw/edit?usp=sharing"",""สระบุรี!J40"")"),1.0)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IFERROR(__xludf.DUMMYFUNCTION("IMPORTRANGE(""https://docs.google.com/spreadsheets/d/1SX6NBoVAgQJ6U1MVXOaj8PK2l7WJ3RER9xtqwdhxkhw/edit?usp=sharing"",""สระบุรี!J41"")"),1.0)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IFERROR(__xludf.DUMMYFUNCTION("IMPORTRANGE(""https://docs.google.com/spreadsheets/d/1SX6NBoVAgQJ6U1MVXOaj8PK2l7WJ3RER9xtqwdhxkhw/edit?usp=sharing"",""สระบุรี!J42"")"),1.0)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IFERROR(__xludf.DUMMYFUNCTION("IMPORTRANGE(""https://docs.google.com/spreadsheets/d/1SX6NBoVAgQJ6U1MVXOaj8PK2l7WJ3RER9xtqwdhxkhw/edit?usp=sharing"",""สระบุรี!I43"")"),1.0)</f>
        <v>1</v>
      </c>
      <c r="J108" s="238">
        <f>IFERROR(__xludf.DUMMYFUNCTION("IMPORTRANGE(""https://docs.google.com/spreadsheets/d/1SX6NBoVAgQJ6U1MVXOaj8PK2l7WJ3RER9xtqwdhxkhw/edit?usp=sharing"",""สระบุรี!J43"")"),1.0)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IFERROR(__xludf.DUMMYFUNCTION("IMPORTRANGE(""https://docs.google.com/spreadsheets/d/1SX6NBoVAgQJ6U1MVXOaj8PK2l7WJ3RER9xtqwdhxkhw/edit?usp=sharing"",""สระบุรี!I44"")"),4.0)</f>
        <v>4</v>
      </c>
      <c r="J109" s="238">
        <f>IFERROR(__xludf.DUMMYFUNCTION("IMPORTRANGE(""https://docs.google.com/spreadsheets/d/1SX6NBoVAgQJ6U1MVXOaj8PK2l7WJ3RER9xtqwdhxkhw/edit?usp=sharing"",""สระบุรี!J44"")"),4.0)</f>
        <v>4</v>
      </c>
      <c r="K109" s="258">
        <f t="shared" si="58"/>
        <v>100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IFERROR(__xludf.DUMMYFUNCTION("IMPORTRANGE(""https://docs.google.com/spreadsheets/d/1SX6NBoVAgQJ6U1MVXOaj8PK2l7WJ3RER9xtqwdhxkhw/edit?usp=sharing"",""สระบุรี!I45"")"),4.0)</f>
        <v>4</v>
      </c>
      <c r="J110" s="238">
        <f>IFERROR(__xludf.DUMMYFUNCTION("IMPORTRANGE(""https://docs.google.com/spreadsheets/d/1SX6NBoVAgQJ6U1MVXOaj8PK2l7WJ3RER9xtqwdhxkhw/edit?usp=sharing"",""สระบุรี!J45"")"),4.0)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IFERROR(__xludf.DUMMYFUNCTION("IMPORTRANGE(""https://docs.google.com/spreadsheets/d/1SX6NBoVAgQJ6U1MVXOaj8PK2l7WJ3RER9xtqwdhxkhw/edit?usp=sharing"",""สระบุรี!I46"")"),4.0)</f>
        <v>4</v>
      </c>
      <c r="J111" s="238">
        <f>IFERROR(__xludf.DUMMYFUNCTION("IMPORTRANGE(""https://docs.google.com/spreadsheets/d/1SX6NBoVAgQJ6U1MVXOaj8PK2l7WJ3RER9xtqwdhxkhw/edit?usp=sharing"",""สระบุรี!J46"")"),4.0)</f>
        <v>4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IFERROR(__xludf.DUMMYFUNCTION("IMPORTRANGE(""https://docs.google.com/spreadsheets/d/1SX6NBoVAgQJ6U1MVXOaj8PK2l7WJ3RER9xtqwdhxkhw/edit?usp=sharing"",""สระบุรี!I47"")"),4.0)</f>
        <v>4</v>
      </c>
      <c r="J112" s="238">
        <f>IFERROR(__xludf.DUMMYFUNCTION("IMPORTRANGE(""https://docs.google.com/spreadsheets/d/1SX6NBoVAgQJ6U1MVXOaj8PK2l7WJ3RER9xtqwdhxkhw/edit?usp=sharing"",""สระบุรี!J47"")"),0.0)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IFERROR(__xludf.DUMMYFUNCTION("IMPORTRANGE(""https://docs.google.com/spreadsheets/d/1SX6NBoVAgQJ6U1MVXOaj8PK2l7WJ3RER9xtqwdhxkhw/edit?usp=sharing"",""สระบุรี!I48"")"),1.0)</f>
        <v>1</v>
      </c>
      <c r="J113" s="238">
        <f>IFERROR(__xludf.DUMMYFUNCTION("IMPORTRANGE(""https://docs.google.com/spreadsheets/d/1SX6NBoVAgQJ6U1MVXOaj8PK2l7WJ3RER9xtqwdhxkhw/edit?usp=sharing"",""สระบุรี!J48"")"),0.0)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IFERROR(__xludf.DUMMYFUNCTION("IMPORTRANGE(""https://docs.google.com/spreadsheets/d/1SX6NBoVAgQJ6U1MVXOaj8PK2l7WJ3RER9xtqwdhxkhw/edit?usp=sharing"",""สระบุรี!J49"")"),0.0)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IFERROR(__xludf.DUMMYFUNCTION("IMPORTRANGE(""https://docs.google.com/spreadsheets/d/1SX6NBoVAgQJ6U1MVXOaj8PK2l7WJ3RER9xtqwdhxkhw/edit?usp=sharing"",""สระบุรี!J50"")"),0.0)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IFERROR(__xludf.DUMMYFUNCTION("IMPORTRANGE(""https://docs.google.com/spreadsheets/d/1SX6NBoVAgQJ6U1MVXOaj8PK2l7WJ3RER9xtqwdhxkhw/edit?usp=sharing"",""สระบุรี!I52"")"),15.0)</f>
        <v>15</v>
      </c>
      <c r="J117" s="172">
        <f>IFERROR(__xludf.DUMMYFUNCTION("IMPORTRANGE(""https://docs.google.com/spreadsheets/d/1SX6NBoVAgQJ6U1MVXOaj8PK2l7WJ3RER9xtqwdhxkhw/edit?usp=sharing"",""สระบุรี!J52"")"),15.0)</f>
        <v>15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37140</v>
      </c>
      <c r="O118" s="182">
        <f t="shared" ref="O118:O120" si="61">IF(L118&gt;0,N118*100/L118,0)</f>
        <v>57.23532131</v>
      </c>
      <c r="P118" s="182">
        <f t="shared" ref="P118:P120" si="62">IF(M118&gt;0,N118*100/M118,0)</f>
        <v>70.22121384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37140</v>
      </c>
      <c r="O120" s="187">
        <f t="shared" si="61"/>
        <v>57.23532131</v>
      </c>
      <c r="P120" s="187">
        <f t="shared" si="62"/>
        <v>70.22121384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IFERROR(__xludf.DUMMYFUNCTION("IMPORTRANGE(""https://docs.google.com/spreadsheets/d/1Yj_ptqi66GCucihVvJfMjLAmec39IyEx_6qawtMGysU/edit?usp=sharing"",""สบก!BA76"")"),52890.0)</f>
        <v>52890</v>
      </c>
      <c r="N122" s="202">
        <f>IFERROR(__xludf.DUMMYFUNCTION("IMPORTRANGE(""https://docs.google.com/spreadsheets/d/1Yj_ptqi66GCucihVvJfMjLAmec39IyEx_6qawtMGysU/edit?usp=sharing"",""สบก!BB76"")"),37140.0)</f>
        <v>37140</v>
      </c>
      <c r="O122" s="203">
        <f>IF(L122&gt;0,N122*100/L122,0)</f>
        <v>57.23532131</v>
      </c>
      <c r="P122" s="203">
        <f>IF(M122&gt;0,N122*100/M122,0)</f>
        <v>70.22121384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IFERROR(__xludf.DUMMYFUNCTION("IMPORTRANGE(""https://docs.google.com/spreadsheets/d/1Yj_ptqi66GCucihVvJfMjLAmec39IyEx_6qawtMGysU/edit?usp=sharing"",""สบก!AW76"")"),0.0)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IFERROR(__xludf.DUMMYFUNCTION("IMPORTRANGE(""https://docs.google.com/spreadsheets/d/1Yj_ptqi66GCucihVvJfMjLAmec39IyEx_6qawtMGysU/edit?usp=sharing"",""สบก!AX76"")"),64890.0)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IFERROR(__xludf.DUMMYFUNCTION("IMPORTRANGE(""https://docs.google.com/spreadsheets/d/1Yj_ptqi66GCucihVvJfMjLAmec39IyEx_6qawtMGysU/edit?usp=sharing"",""สบก!AY76"")"),0.0)</f>
        <v>0</v>
      </c>
      <c r="M126" s="125"/>
      <c r="N126" s="115">
        <f>IFERROR(__xludf.DUMMYFUNCTION("IMPORTRANGE(""https://docs.google.com/spreadsheets/d/1Yj_ptqi66GCucihVvJfMjLAmec39IyEx_6qawtMGysU/edit?usp=sharing"",""สบก!BC76"")"),0.0)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IFERROR(__xludf.DUMMYFUNCTION("IMPORTRANGE(""https://docs.google.com/spreadsheets/d/1SX6NBoVAgQJ6U1MVXOaj8PK2l7WJ3RER9xtqwdhxkhw/edit?usp=sharing"",""สระบุรี!J58"")"),0.0)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IFERROR(__xludf.DUMMYFUNCTION("IMPORTRANGE(""https://docs.google.com/spreadsheets/d/1SX6NBoVAgQJ6U1MVXOaj8PK2l7WJ3RER9xtqwdhxkhw/edit?usp=sharing"",""สระบุรี!J59"")"),1.0)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IFERROR(__xludf.DUMMYFUNCTION("IMPORTRANGE(""https://docs.google.com/spreadsheets/d/1SX6NBoVAgQJ6U1MVXOaj8PK2l7WJ3RER9xtqwdhxkhw/edit?usp=sharing"",""สระบุรี!J60"")"),1.0)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IFERROR(__xludf.DUMMYFUNCTION("IMPORTRANGE(""https://docs.google.com/spreadsheets/d/1SX6NBoVAgQJ6U1MVXOaj8PK2l7WJ3RER9xtqwdhxkhw/edit?usp=sharing"",""สระบุรี!J61"")"),1.0)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IFERROR(__xludf.DUMMYFUNCTION("IMPORTRANGE(""https://docs.google.com/spreadsheets/d/1SX6NBoVAgQJ6U1MVXOaj8PK2l7WJ3RER9xtqwdhxkhw/edit?usp=sharing"",""สระบุรี!I62"")"),15.0)</f>
        <v>15</v>
      </c>
      <c r="J132" s="238">
        <f>IFERROR(__xludf.DUMMYFUNCTION("IMPORTRANGE(""https://docs.google.com/spreadsheets/d/1SX6NBoVAgQJ6U1MVXOaj8PK2l7WJ3RER9xtqwdhxkhw/edit?usp=sharing"",""สระบุรี!J62"")"),15.0)</f>
        <v>15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IFERROR(__xludf.DUMMYFUNCTION("IMPORTRANGE(""https://docs.google.com/spreadsheets/d/1SX6NBoVAgQJ6U1MVXOaj8PK2l7WJ3RER9xtqwdhxkhw/edit?usp=sharing"",""สระบุรี!I63"")"),15.0)</f>
        <v>15</v>
      </c>
      <c r="J133" s="238">
        <f>IFERROR(__xludf.DUMMYFUNCTION("IMPORTRANGE(""https://docs.google.com/spreadsheets/d/1SX6NBoVAgQJ6U1MVXOaj8PK2l7WJ3RER9xtqwdhxkhw/edit?usp=sharing"",""สระบุรี!J63"")"),0.0)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IFERROR(__xludf.DUMMYFUNCTION("IMPORTRANGE(""https://docs.google.com/spreadsheets/d/1SX6NBoVAgQJ6U1MVXOaj8PK2l7WJ3RER9xtqwdhxkhw/edit?usp=sharing"",""สระบุรี!J64"")"),0.0)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IFERROR(__xludf.DUMMYFUNCTION("IMPORTRANGE(""https://docs.google.com/spreadsheets/d/1SX6NBoVAgQJ6U1MVXOaj8PK2l7WJ3RER9xtqwdhxkhw/edit?usp=sharing"",""สระบุรี!J65"")"),0.0)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IFERROR(__xludf.DUMMYFUNCTION("IMPORTRANGE(""https://docs.google.com/spreadsheets/d/1SX6NBoVAgQJ6U1MVXOaj8PK2l7WJ3RER9xtqwdhxkhw/edit?usp=sharing"",""สระบุรี!I68"")"),15.0)</f>
        <v>15</v>
      </c>
      <c r="J138" s="301">
        <f>IFERROR(__xludf.DUMMYFUNCTION("IMPORTRANGE(""https://docs.google.com/spreadsheets/d/1SX6NBoVAgQJ6U1MVXOaj8PK2l7WJ3RER9xtqwdhxkhw/edit?usp=sharing"",""สระบุรี!J68"")"),0.0)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374200</v>
      </c>
      <c r="M140" s="183">
        <f t="shared" si="65"/>
        <v>211550</v>
      </c>
      <c r="N140" s="183">
        <f t="shared" si="65"/>
        <v>137216</v>
      </c>
      <c r="O140" s="182">
        <f t="shared" ref="O140:O142" si="67">IF(L140&gt;0,N140*100/L140,0)</f>
        <v>36.66916088</v>
      </c>
      <c r="P140" s="182">
        <f t="shared" ref="P140:P142" si="68">IF(M140&gt;0,N140*100/M140,0)</f>
        <v>64.86220752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374200</v>
      </c>
      <c r="M142" s="188">
        <f t="shared" si="69"/>
        <v>211550</v>
      </c>
      <c r="N142" s="188">
        <f t="shared" si="69"/>
        <v>137216</v>
      </c>
      <c r="O142" s="187">
        <f t="shared" si="67"/>
        <v>36.66916088</v>
      </c>
      <c r="P142" s="187">
        <f t="shared" si="68"/>
        <v>64.86220752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374200</v>
      </c>
      <c r="M144" s="201">
        <f>IFERROR(__xludf.DUMMYFUNCTION("IMPORTRANGE(""https://docs.google.com/spreadsheets/d/1Yj_ptqi66GCucihVvJfMjLAmec39IyEx_6qawtMGysU/edit?usp=sharing"",""สบก!BJ76"")"),211550.0)</f>
        <v>211550</v>
      </c>
      <c r="N144" s="202">
        <f>IFERROR(__xludf.DUMMYFUNCTION("IMPORTRANGE(""https://docs.google.com/spreadsheets/d/1Yj_ptqi66GCucihVvJfMjLAmec39IyEx_6qawtMGysU/edit?usp=sharing"",""สบก!BK76"")"),137216.0)</f>
        <v>137216</v>
      </c>
      <c r="O144" s="203">
        <f>IF(L144&gt;0,N144*100/L144,0)</f>
        <v>36.66916088</v>
      </c>
      <c r="P144" s="203">
        <f>IF(M144&gt;0,N144*100/M144,0)</f>
        <v>64.86220752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IFERROR(__xludf.DUMMYFUNCTION("IMPORTRANGE(""https://docs.google.com/spreadsheets/d/1Yj_ptqi66GCucihVvJfMjLAmec39IyEx_6qawtMGysU/edit?usp=sharing"",""สบก!BF76"")"),301600.0)</f>
        <v>301600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IFERROR(__xludf.DUMMYFUNCTION("IMPORTRANGE(""https://docs.google.com/spreadsheets/d/1Yj_ptqi66GCucihVvJfMjLAmec39IyEx_6qawtMGysU/edit?usp=sharing"",""สบก!BG76"")"),72600.0)</f>
        <v>72600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IFERROR(__xludf.DUMMYFUNCTION("IMPORTRANGE(""https://docs.google.com/spreadsheets/d/1Yj_ptqi66GCucihVvJfMjLAmec39IyEx_6qawtMGysU/edit?usp=sharing"",""สบก!BH76"")"),0.0)</f>
        <v>0</v>
      </c>
      <c r="M148" s="125"/>
      <c r="N148" s="115">
        <f>IFERROR(__xludf.DUMMYFUNCTION("IMPORTRANGE(""https://docs.google.com/spreadsheets/d/1Yj_ptqi66GCucihVvJfMjLAmec39IyEx_6qawtMGysU/edit?usp=sharing"",""สบก!BL76"")"),0.0)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IFERROR(__xludf.DUMMYFUNCTION("IMPORTRANGE(""https://docs.google.com/spreadsheets/d/1SX6NBoVAgQJ6U1MVXOaj8PK2l7WJ3RER9xtqwdhxkhw/edit?usp=sharing"",""สระบุรี!I74"")"),4.0)</f>
        <v>4</v>
      </c>
      <c r="J149" s="309">
        <f>IFERROR(__xludf.DUMMYFUNCTION("IMPORTRANGE(""https://docs.google.com/spreadsheets/d/1SX6NBoVAgQJ6U1MVXOaj8PK2l7WJ3RER9xtqwdhxkhw/edit?usp=sharing"",""สระบุรี!J74"")"),0.0)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IFERROR(__xludf.DUMMYFUNCTION("IMPORTRANGE(""https://docs.google.com/spreadsheets/d/1SX6NBoVAgQJ6U1MVXOaj8PK2l7WJ3RER9xtqwdhxkhw/edit?usp=sharing"",""สระบุรี!J79"")"),0.0)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IFERROR(__xludf.DUMMYFUNCTION("IMPORTRANGE(""https://docs.google.com/spreadsheets/d/1SX6NBoVAgQJ6U1MVXOaj8PK2l7WJ3RER9xtqwdhxkhw/edit?usp=sharing"",""สระบุรี!J80"")"),1.0)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IFERROR(__xludf.DUMMYFUNCTION("IMPORTRANGE(""https://docs.google.com/spreadsheets/d/1SX6NBoVAgQJ6U1MVXOaj8PK2l7WJ3RER9xtqwdhxkhw/edit?usp=sharing"",""สระบุรี!J81"")"),0.0)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IFERROR(__xludf.DUMMYFUNCTION("IMPORTRANGE(""https://docs.google.com/spreadsheets/d/1SX6NBoVAgQJ6U1MVXOaj8PK2l7WJ3RER9xtqwdhxkhw/edit?usp=sharing"",""สระบุรี!J82"")"),0.0)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IFERROR(__xludf.DUMMYFUNCTION("IMPORTRANGE(""https://docs.google.com/spreadsheets/d/1SX6NBoVAgQJ6U1MVXOaj8PK2l7WJ3RER9xtqwdhxkhw/edit?usp=sharing"",""สระบุรี!I83"")"),4.0)</f>
        <v>4</v>
      </c>
      <c r="J158" s="223">
        <f>IFERROR(__xludf.DUMMYFUNCTION("IMPORTRANGE(""https://docs.google.com/spreadsheets/d/1SX6NBoVAgQJ6U1MVXOaj8PK2l7WJ3RER9xtqwdhxkhw/edit?usp=sharing"",""สระบุรี!J83"")"),0.0)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IFERROR(__xludf.DUMMYFUNCTION("IMPORTRANGE(""https://docs.google.com/spreadsheets/d/1SX6NBoVAgQJ6U1MVXOaj8PK2l7WJ3RER9xtqwdhxkhw/edit?usp=sharing"",""สระบุรี!J84"")"),0.0)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IFERROR(__xludf.DUMMYFUNCTION("IMPORTRANGE(""https://docs.google.com/spreadsheets/d/1SX6NBoVAgQJ6U1MVXOaj8PK2l7WJ3RER9xtqwdhxkhw/edit?usp=sharing"",""สระบุรี!J85"")"),0.0)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IFERROR(__xludf.DUMMYFUNCTION("IMPORTRANGE(""https://docs.google.com/spreadsheets/d/1SX6NBoVAgQJ6U1MVXOaj8PK2l7WJ3RER9xtqwdhxkhw/edit?usp=sharing"",""สระบุรี!J86"")"),0.0)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IFERROR(__xludf.DUMMYFUNCTION("IMPORTRANGE(""https://docs.google.com/spreadsheets/d/1SX6NBoVAgQJ6U1MVXOaj8PK2l7WJ3RER9xtqwdhxkhw/edit?usp=sharing"",""สระบุรี!J87"")"),0.0)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IFERROR(__xludf.DUMMYFUNCTION("IMPORTRANGE(""https://docs.google.com/spreadsheets/d/1SX6NBoVAgQJ6U1MVXOaj8PK2l7WJ3RER9xtqwdhxkhw/edit?usp=sharing"",""สระบุรี!J88"")"),0.0)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IFERROR(__xludf.DUMMYFUNCTION("IMPORTRANGE(""https://docs.google.com/spreadsheets/d/1SX6NBoVAgQJ6U1MVXOaj8PK2l7WJ3RER9xtqwdhxkhw/edit?usp=sharing"",""สระบุรี!I89"")"),3.0)</f>
        <v>3</v>
      </c>
      <c r="J164" s="317">
        <f>IFERROR(__xludf.DUMMYFUNCTION("IMPORTRANGE(""https://docs.google.com/spreadsheets/d/1SX6NBoVAgQJ6U1MVXOaj8PK2l7WJ3RER9xtqwdhxkhw/edit?usp=sharing"",""สระบุรี!J89"")"),3.0)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IFERROR(__xludf.DUMMYFUNCTION("IMPORTRANGE(""https://docs.google.com/spreadsheets/d/1SX6NBoVAgQJ6U1MVXOaj8PK2l7WJ3RER9xtqwdhxkhw/edit?usp=sharing"",""สระบุรี!J94"")"),0.0)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IFERROR(__xludf.DUMMYFUNCTION("IMPORTRANGE(""https://docs.google.com/spreadsheets/d/1SX6NBoVAgQJ6U1MVXOaj8PK2l7WJ3RER9xtqwdhxkhw/edit?usp=sharing"",""สระบุรี!J95"")"),1.0)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IFERROR(__xludf.DUMMYFUNCTION("IMPORTRANGE(""https://docs.google.com/spreadsheets/d/1SX6NBoVAgQJ6U1MVXOaj8PK2l7WJ3RER9xtqwdhxkhw/edit?usp=sharing"",""สระบุรี!J96"")"),1.0)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IFERROR(__xludf.DUMMYFUNCTION("IMPORTRANGE(""https://docs.google.com/spreadsheets/d/1SX6NBoVAgQJ6U1MVXOaj8PK2l7WJ3RER9xtqwdhxkhw/edit?usp=sharing"",""สระบุรี!J97"")"),1.0)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IFERROR(__xludf.DUMMYFUNCTION("IMPORTRANGE(""https://docs.google.com/spreadsheets/d/1SX6NBoVAgQJ6U1MVXOaj8PK2l7WJ3RER9xtqwdhxkhw/edit?usp=sharing"",""สระบุรี!I98"")"),3.0)</f>
        <v>3</v>
      </c>
      <c r="J173" s="223">
        <f>IFERROR(__xludf.DUMMYFUNCTION("IMPORTRANGE(""https://docs.google.com/spreadsheets/d/1SX6NBoVAgQJ6U1MVXOaj8PK2l7WJ3RER9xtqwdhxkhw/edit?usp=sharing"",""สระบุรี!J98"")"),3.0)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IFERROR(__xludf.DUMMYFUNCTION("IMPORTRANGE(""https://docs.google.com/spreadsheets/d/1SX6NBoVAgQJ6U1MVXOaj8PK2l7WJ3RER9xtqwdhxkhw/edit?usp=sharing"",""สระบุรี!J99"")"),1.0)</f>
        <v>1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IFERROR(__xludf.DUMMYFUNCTION("IMPORTRANGE(""https://docs.google.com/spreadsheets/d/1SX6NBoVAgQJ6U1MVXOaj8PK2l7WJ3RER9xtqwdhxkhw/edit?usp=sharing"",""สระบุรี!J100"")"),0.0)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IFERROR(__xludf.DUMMYFUNCTION("IMPORTRANGE(""https://docs.google.com/spreadsheets/d/1SX6NBoVAgQJ6U1MVXOaj8PK2l7WJ3RER9xtqwdhxkhw/edit?usp=sharing"",""สระบุรี!I101"")"),0.0)</f>
        <v>0</v>
      </c>
      <c r="J176" s="317">
        <f>IFERROR(__xludf.DUMMYFUNCTION("IMPORTRANGE(""https://docs.google.com/spreadsheets/d/1SX6NBoVAgQJ6U1MVXOaj8PK2l7WJ3RER9xtqwdhxkhw/edit?usp=sharing"",""สระบุรี!J101"")"),0.0)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IFERROR(__xludf.DUMMYFUNCTION("IMPORTRANGE(""https://docs.google.com/spreadsheets/d/1SX6NBoVAgQJ6U1MVXOaj8PK2l7WJ3RER9xtqwdhxkhw/edit?usp=sharing"",""สระบุรี!J106"")"),0.0)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IFERROR(__xludf.DUMMYFUNCTION("IMPORTRANGE(""https://docs.google.com/spreadsheets/d/1SX6NBoVAgQJ6U1MVXOaj8PK2l7WJ3RER9xtqwdhxkhw/edit?usp=sharing"",""สระบุรี!J107"")"),0.0)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IFERROR(__xludf.DUMMYFUNCTION("IMPORTRANGE(""https://docs.google.com/spreadsheets/d/1SX6NBoVAgQJ6U1MVXOaj8PK2l7WJ3RER9xtqwdhxkhw/edit?usp=sharing"",""สระบุรี!J108"")"),0.0)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IFERROR(__xludf.DUMMYFUNCTION("IMPORTRANGE(""https://docs.google.com/spreadsheets/d/1SX6NBoVAgQJ6U1MVXOaj8PK2l7WJ3RER9xtqwdhxkhw/edit?usp=sharing"",""สระบุรี!J109"")"),0.0)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IFERROR(__xludf.DUMMYFUNCTION("IMPORTRANGE(""https://docs.google.com/spreadsheets/d/1SX6NBoVAgQJ6U1MVXOaj8PK2l7WJ3RER9xtqwdhxkhw/edit?usp=sharing"",""สระบุรี!I110"")"),0.0)</f>
        <v>0</v>
      </c>
      <c r="J185" s="238">
        <f>IFERROR(__xludf.DUMMYFUNCTION("IMPORTRANGE(""https://docs.google.com/spreadsheets/d/1SX6NBoVAgQJ6U1MVXOaj8PK2l7WJ3RER9xtqwdhxkhw/edit?usp=sharing"",""สระบุรี!J110"")"),0.0)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IFERROR(__xludf.DUMMYFUNCTION("IMPORTRANGE(""https://docs.google.com/spreadsheets/d/1SX6NBoVAgQJ6U1MVXOaj8PK2l7WJ3RER9xtqwdhxkhw/edit?usp=sharing"",""สระบุรี!I111"")"),0.0)</f>
        <v>0</v>
      </c>
      <c r="J186" s="238">
        <f>IFERROR(__xludf.DUMMYFUNCTION("IMPORTRANGE(""https://docs.google.com/spreadsheets/d/1SX6NBoVAgQJ6U1MVXOaj8PK2l7WJ3RER9xtqwdhxkhw/edit?usp=sharing"",""สระบุรี!J111"")"),0.0)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IFERROR(__xludf.DUMMYFUNCTION("IMPORTRANGE(""https://docs.google.com/spreadsheets/d/1SX6NBoVAgQJ6U1MVXOaj8PK2l7WJ3RER9xtqwdhxkhw/edit?usp=sharing"",""สระบุรี!J112"")"),0.0)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IFERROR(__xludf.DUMMYFUNCTION("IMPORTRANGE(""https://docs.google.com/spreadsheets/d/1SX6NBoVAgQJ6U1MVXOaj8PK2l7WJ3RER9xtqwdhxkhw/edit?usp=sharing"",""สระบุรี!J113"")"),0.0)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IFERROR(__xludf.DUMMYFUNCTION("IMPORTRANGE(""https://docs.google.com/spreadsheets/d/1SX6NBoVAgQJ6U1MVXOaj8PK2l7WJ3RER9xtqwdhxkhw/edit?usp=sharing"",""สระบุรี!I114"")"),12800.0)</f>
        <v>12800</v>
      </c>
      <c r="J189" s="317">
        <f>IFERROR(__xludf.DUMMYFUNCTION("IMPORTRANGE(""https://docs.google.com/spreadsheets/d/1SX6NBoVAgQJ6U1MVXOaj8PK2l7WJ3RER9xtqwdhxkhw/edit?usp=sharing"",""สระบุรี!J114"")"),0.0)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IFERROR(__xludf.DUMMYFUNCTION("IMPORTRANGE(""https://docs.google.com/spreadsheets/d/1SX6NBoVAgQJ6U1MVXOaj8PK2l7WJ3RER9xtqwdhxkhw/edit?usp=sharing"",""สระบุรี!J119"")"),1.0)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IFERROR(__xludf.DUMMYFUNCTION("IMPORTRANGE(""https://docs.google.com/spreadsheets/d/1SX6NBoVAgQJ6U1MVXOaj8PK2l7WJ3RER9xtqwdhxkhw/edit?usp=sharing"",""สระบุรี!J120"")"),0.0)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IFERROR(__xludf.DUMMYFUNCTION("IMPORTRANGE(""https://docs.google.com/spreadsheets/d/1SX6NBoVAgQJ6U1MVXOaj8PK2l7WJ3RER9xtqwdhxkhw/edit?usp=sharing"",""สระบุรี!J121"")"),0.0)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IFERROR(__xludf.DUMMYFUNCTION("IMPORTRANGE(""https://docs.google.com/spreadsheets/d/1SX6NBoVAgQJ6U1MVXOaj8PK2l7WJ3RER9xtqwdhxkhw/edit?usp=sharing"",""สระบุรี!J122"")"),0.0)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IFERROR(__xludf.DUMMYFUNCTION("IMPORTRANGE(""https://docs.google.com/spreadsheets/d/1SX6NBoVAgQJ6U1MVXOaj8PK2l7WJ3RER9xtqwdhxkhw/edit?usp=sharing"",""สระบุรี!I124"")"),12800.0)</f>
        <v>12800</v>
      </c>
      <c r="J199" s="223">
        <f>IFERROR(__xludf.DUMMYFUNCTION("IMPORTRANGE(""https://docs.google.com/spreadsheets/d/1SX6NBoVAgQJ6U1MVXOaj8PK2l7WJ3RER9xtqwdhxkhw/edit?usp=sharing"",""สระบุรี!J124"")"),0.0)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IFERROR(__xludf.DUMMYFUNCTION("IMPORTRANGE(""https://docs.google.com/spreadsheets/d/1SX6NBoVAgQJ6U1MVXOaj8PK2l7WJ3RER9xtqwdhxkhw/edit?usp=sharing"",""สระบุรี!I125"")"),12800.0)</f>
        <v>12800</v>
      </c>
      <c r="J200" s="223">
        <f>IFERROR(__xludf.DUMMYFUNCTION("IMPORTRANGE(""https://docs.google.com/spreadsheets/d/1SX6NBoVAgQJ6U1MVXOaj8PK2l7WJ3RER9xtqwdhxkhw/edit?usp=sharing"",""สระบุรี!J125"")"),0.0)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IFERROR(__xludf.DUMMYFUNCTION("IMPORTRANGE(""https://docs.google.com/spreadsheets/d/1SX6NBoVAgQJ6U1MVXOaj8PK2l7WJ3RER9xtqwdhxkhw/edit?usp=sharing"",""สระบุรี!I126"")"),15.0)</f>
        <v>15</v>
      </c>
      <c r="J201" s="223">
        <f>IFERROR(__xludf.DUMMYFUNCTION("IMPORTRANGE(""https://docs.google.com/spreadsheets/d/1SX6NBoVAgQJ6U1MVXOaj8PK2l7WJ3RER9xtqwdhxkhw/edit?usp=sharing"",""สระบุรี!J126"")"),0.0)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IFERROR(__xludf.DUMMYFUNCTION("IMPORTRANGE(""https://docs.google.com/spreadsheets/d/1SX6NBoVAgQJ6U1MVXOaj8PK2l7WJ3RER9xtqwdhxkhw/edit?usp=sharing"",""สระบุรี!J127"")"),0.0)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IFERROR(__xludf.DUMMYFUNCTION("IMPORTRANGE(""https://docs.google.com/spreadsheets/d/1SX6NBoVAgQJ6U1MVXOaj8PK2l7WJ3RER9xtqwdhxkhw/edit?usp=sharing"",""สระบุรี!J128"")"),0.0)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IFERROR(__xludf.DUMMYFUNCTION("IMPORTRANGE(""https://docs.google.com/spreadsheets/d/1SX6NBoVAgQJ6U1MVXOaj8PK2l7WJ3RER9xtqwdhxkhw/edit?usp=sharing"",""สระบุรี!I129"")"),0.0)</f>
        <v>0</v>
      </c>
      <c r="J204" s="317">
        <f>IFERROR(__xludf.DUMMYFUNCTION("IMPORTRANGE(""https://docs.google.com/spreadsheets/d/1SX6NBoVAgQJ6U1MVXOaj8PK2l7WJ3RER9xtqwdhxkhw/edit?usp=sharing"",""สระบุรี!J129"")"),0.0)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IFERROR(__xludf.DUMMYFUNCTION("IMPORTRANGE(""https://docs.google.com/spreadsheets/d/1SX6NBoVAgQJ6U1MVXOaj8PK2l7WJ3RER9xtqwdhxkhw/edit?usp=sharing"",""สระบุรี!J134"")"),0.0)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IFERROR(__xludf.DUMMYFUNCTION("IMPORTRANGE(""https://docs.google.com/spreadsheets/d/1SX6NBoVAgQJ6U1MVXOaj8PK2l7WJ3RER9xtqwdhxkhw/edit?usp=sharing"",""สระบุรี!J135"")"),0.0)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IFERROR(__xludf.DUMMYFUNCTION("IMPORTRANGE(""https://docs.google.com/spreadsheets/d/1SX6NBoVAgQJ6U1MVXOaj8PK2l7WJ3RER9xtqwdhxkhw/edit?usp=sharing"",""สระบุรี!J136"")"),0.0)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IFERROR(__xludf.DUMMYFUNCTION("IMPORTRANGE(""https://docs.google.com/spreadsheets/d/1SX6NBoVAgQJ6U1MVXOaj8PK2l7WJ3RER9xtqwdhxkhw/edit?usp=sharing"",""สระบุรี!J137"")"),0.0)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IFERROR(__xludf.DUMMYFUNCTION("IMPORTRANGE(""https://docs.google.com/spreadsheets/d/1SX6NBoVAgQJ6U1MVXOaj8PK2l7WJ3RER9xtqwdhxkhw/edit?usp=sharing"",""สระบุรี!I138"")"),0.0)</f>
        <v>0</v>
      </c>
      <c r="J213" s="238">
        <f>IFERROR(__xludf.DUMMYFUNCTION("IMPORTRANGE(""https://docs.google.com/spreadsheets/d/1SX6NBoVAgQJ6U1MVXOaj8PK2l7WJ3RER9xtqwdhxkhw/edit?usp=sharing"",""สระบุรี!J138"")"),0.0)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IFERROR(__xludf.DUMMYFUNCTION("IMPORTRANGE(""https://docs.google.com/spreadsheets/d/1SX6NBoVAgQJ6U1MVXOaj8PK2l7WJ3RER9xtqwdhxkhw/edit?usp=sharing"",""สระบุรี!I140"")"),0.0)</f>
        <v>0</v>
      </c>
      <c r="J215" s="238">
        <f>IFERROR(__xludf.DUMMYFUNCTION("IMPORTRANGE(""https://docs.google.com/spreadsheets/d/1SX6NBoVAgQJ6U1MVXOaj8PK2l7WJ3RER9xtqwdhxkhw/edit?usp=sharing"",""สระบุรี!J140"")"),0.0)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IFERROR(__xludf.DUMMYFUNCTION("IMPORTRANGE(""https://docs.google.com/spreadsheets/d/1SX6NBoVAgQJ6U1MVXOaj8PK2l7WJ3RER9xtqwdhxkhw/edit?usp=sharing"",""สระบุรี!I141"")"),0.0)</f>
        <v>0</v>
      </c>
      <c r="J216" s="238">
        <f>IFERROR(__xludf.DUMMYFUNCTION("IMPORTRANGE(""https://docs.google.com/spreadsheets/d/1SX6NBoVAgQJ6U1MVXOaj8PK2l7WJ3RER9xtqwdhxkhw/edit?usp=sharing"",""สระบุรี!J141"")"),0.0)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IFERROR(__xludf.DUMMYFUNCTION("IMPORTRANGE(""https://docs.google.com/spreadsheets/d/1SX6NBoVAgQJ6U1MVXOaj8PK2l7WJ3RER9xtqwdhxkhw/edit?usp=sharing"",""สระบุรี!J142"")"),0.0)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IFERROR(__xludf.DUMMYFUNCTION("IMPORTRANGE(""https://docs.google.com/spreadsheets/d/1SX6NBoVAgQJ6U1MVXOaj8PK2l7WJ3RER9xtqwdhxkhw/edit?usp=sharing"",""สระบุรี!J143"")"),0.0)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IFERROR(__xludf.DUMMYFUNCTION("IMPORTRANGE(""https://docs.google.com/spreadsheets/d/1SX6NBoVAgQJ6U1MVXOaj8PK2l7WJ3RER9xtqwdhxkhw/edit?usp=sharing"",""สระบุรี!I144"")"),14.0)</f>
        <v>14</v>
      </c>
      <c r="J219" s="301">
        <f>IFERROR(__xludf.DUMMYFUNCTION("IMPORTRANGE(""https://docs.google.com/spreadsheets/d/1SX6NBoVAgQJ6U1MVXOaj8PK2l7WJ3RER9xtqwdhxkhw/edit?usp=sharing"",""สระบุรี!J144"")"),14.0)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19105</v>
      </c>
      <c r="O220" s="182">
        <f t="shared" ref="O220:O222" si="75">IF(L220&gt;0,N220*100/L220,0)</f>
        <v>94.5324097</v>
      </c>
      <c r="P220" s="182">
        <f t="shared" ref="P220:P222" si="76">IF(M220&gt;0,N220*100/M220,0)</f>
        <v>94.5324097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19105</v>
      </c>
      <c r="O222" s="187">
        <f t="shared" si="75"/>
        <v>94.5324097</v>
      </c>
      <c r="P222" s="187">
        <f t="shared" si="76"/>
        <v>94.5324097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IFERROR(__xludf.DUMMYFUNCTION("IMPORTRANGE(""https://docs.google.com/spreadsheets/d/1Yj_ptqi66GCucihVvJfMjLAmec39IyEx_6qawtMGysU/edit?usp=sharing"",""สบก!BS76"")"),20210.0)</f>
        <v>20210</v>
      </c>
      <c r="N224" s="202">
        <f>IFERROR(__xludf.DUMMYFUNCTION("IMPORTRANGE(""https://docs.google.com/spreadsheets/d/1Yj_ptqi66GCucihVvJfMjLAmec39IyEx_6qawtMGysU/edit?usp=sharing"",""สบก!BT76"")"),19105.0)</f>
        <v>19105</v>
      </c>
      <c r="O224" s="203">
        <f>IF(L224&gt;0,N224*100/L224,0)</f>
        <v>94.5324097</v>
      </c>
      <c r="P224" s="203">
        <f>IF(M224&gt;0,N224*100/M224,0)</f>
        <v>94.5324097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IFERROR(__xludf.DUMMYFUNCTION("IMPORTRANGE(""https://docs.google.com/spreadsheets/d/1Yj_ptqi66GCucihVvJfMjLAmec39IyEx_6qawtMGysU/edit?usp=sharing"",""สบก!BO76"")"),0.0)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IFERROR(__xludf.DUMMYFUNCTION("IMPORTRANGE(""https://docs.google.com/spreadsheets/d/1Yj_ptqi66GCucihVvJfMjLAmec39IyEx_6qawtMGysU/edit?usp=sharing"",""สบก!BP76"")"),20210.0)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IFERROR(__xludf.DUMMYFUNCTION("IMPORTRANGE(""https://docs.google.com/spreadsheets/d/1Yj_ptqi66GCucihVvJfMjLAmec39IyEx_6qawtMGysU/edit?usp=sharing"",""สบก!BQ76"")"),0.0)</f>
        <v>0</v>
      </c>
      <c r="M228" s="125"/>
      <c r="N228" s="115">
        <f>IFERROR(__xludf.DUMMYFUNCTION("IMPORTRANGE(""https://docs.google.com/spreadsheets/d/1Yj_ptqi66GCucihVvJfMjLAmec39IyEx_6qawtMGysU/edit?usp=sharing"",""สบก!BU76"")"),0.0)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IFERROR(__xludf.DUMMYFUNCTION("IMPORTRANGE(""https://docs.google.com/spreadsheets/d/1SX6NBoVAgQJ6U1MVXOaj8PK2l7WJ3RER9xtqwdhxkhw/edit?usp=sharing"",""สระบุรี!I149"")"),14.0)</f>
        <v>14</v>
      </c>
      <c r="J229" s="301">
        <f>IFERROR(__xludf.DUMMYFUNCTION("IMPORTRANGE(""https://docs.google.com/spreadsheets/d/1SX6NBoVAgQJ6U1MVXOaj8PK2l7WJ3RER9xtqwdhxkhw/edit?usp=sharing"",""สระบุรี!J149"")"),14.0)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IFERROR(__xludf.DUMMYFUNCTION("IMPORTRANGE(""https://docs.google.com/spreadsheets/d/1SX6NBoVAgQJ6U1MVXOaj8PK2l7WJ3RER9xtqwdhxkhw/edit?usp=sharing"",""สระบุรี!J151"")"),0.0)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IFERROR(__xludf.DUMMYFUNCTION("IMPORTRANGE(""https://docs.google.com/spreadsheets/d/1SX6NBoVAgQJ6U1MVXOaj8PK2l7WJ3RER9xtqwdhxkhw/edit?usp=sharing"",""สระบุรี!J152"")"),0.0)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IFERROR(__xludf.DUMMYFUNCTION("IMPORTRANGE(""https://docs.google.com/spreadsheets/d/1SX6NBoVAgQJ6U1MVXOaj8PK2l7WJ3RER9xtqwdhxkhw/edit?usp=sharing"",""สระบุรี!J153"")"),0.0)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IFERROR(__xludf.DUMMYFUNCTION("IMPORTRANGE(""https://docs.google.com/spreadsheets/d/1SX6NBoVAgQJ6U1MVXOaj8PK2l7WJ3RER9xtqwdhxkhw/edit?usp=sharing"",""สระบุรี!J154"")"),0.0)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IFERROR(__xludf.DUMMYFUNCTION("IMPORTRANGE(""https://docs.google.com/spreadsheets/d/1SX6NBoVAgQJ6U1MVXOaj8PK2l7WJ3RER9xtqwdhxkhw/edit?usp=sharing"",""สระบุรี!I155"")"),14.0)</f>
        <v>14</v>
      </c>
      <c r="J235" s="223">
        <f>IFERROR(__xludf.DUMMYFUNCTION("IMPORTRANGE(""https://docs.google.com/spreadsheets/d/1SX6NBoVAgQJ6U1MVXOaj8PK2l7WJ3RER9xtqwdhxkhw/edit?usp=sharing"",""สระบุรี!J155"")"),14.0)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IFERROR(__xludf.DUMMYFUNCTION("IMPORTRANGE(""https://docs.google.com/spreadsheets/d/1SX6NBoVAgQJ6U1MVXOaj8PK2l7WJ3RER9xtqwdhxkhw/edit?usp=sharing"",""สระบุรี!J156"")"),0.0)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IFERROR(__xludf.DUMMYFUNCTION("IMPORTRANGE(""https://docs.google.com/spreadsheets/d/1SX6NBoVAgQJ6U1MVXOaj8PK2l7WJ3RER9xtqwdhxkhw/edit?usp=sharing"",""สระบุรี!J157"")"),0.0)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IFERROR(__xludf.DUMMYFUNCTION("IMPORTRANGE(""https://docs.google.com/spreadsheets/d/1SX6NBoVAgQJ6U1MVXOaj8PK2l7WJ3RER9xtqwdhxkhw/edit?usp=sharing"",""สระบุรี!I158"")"),0.0)</f>
        <v>0</v>
      </c>
      <c r="J238" s="301">
        <f>IFERROR(__xludf.DUMMYFUNCTION("IMPORTRANGE(""https://docs.google.com/spreadsheets/d/1SX6NBoVAgQJ6U1MVXOaj8PK2l7WJ3RER9xtqwdhxkhw/edit?usp=sharing"",""สระบุรี!J158"")"),0.0)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IFERROR(__xludf.DUMMYFUNCTION("IMPORTRANGE(""https://docs.google.com/spreadsheets/d/1SX6NBoVAgQJ6U1MVXOaj8PK2l7WJ3RER9xtqwdhxkhw/edit?usp=sharing"",""สระบุรี!J159"")"),"")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IFERROR(__xludf.DUMMYFUNCTION("IMPORTRANGE(""https://docs.google.com/spreadsheets/d/1SX6NBoVAgQJ6U1MVXOaj8PK2l7WJ3RER9xtqwdhxkhw/edit?usp=sharing"",""สระบุรี!J161"")"),0.0)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IFERROR(__xludf.DUMMYFUNCTION("IMPORTRANGE(""https://docs.google.com/spreadsheets/d/1SX6NBoVAgQJ6U1MVXOaj8PK2l7WJ3RER9xtqwdhxkhw/edit?usp=sharing"",""สระบุรี!J162"")"),0.0)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IFERROR(__xludf.DUMMYFUNCTION("IMPORTRANGE(""https://docs.google.com/spreadsheets/d/1SX6NBoVAgQJ6U1MVXOaj8PK2l7WJ3RER9xtqwdhxkhw/edit?usp=sharing"",""สระบุรี!J163"")"),0.0)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IFERROR(__xludf.DUMMYFUNCTION("IMPORTRANGE(""https://docs.google.com/spreadsheets/d/1SX6NBoVAgQJ6U1MVXOaj8PK2l7WJ3RER9xtqwdhxkhw/edit?usp=sharing"",""สระบุรี!I164"")"),0.0)</f>
        <v>0</v>
      </c>
      <c r="J244" s="222">
        <f>IFERROR(__xludf.DUMMYFUNCTION("IMPORTRANGE(""https://docs.google.com/spreadsheets/d/1SX6NBoVAgQJ6U1MVXOaj8PK2l7WJ3RER9xtqwdhxkhw/edit?usp=sharing"",""สระบุรี!J164"")"),0.0)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IFERROR(__xludf.DUMMYFUNCTION("IMPORTRANGE(""https://docs.google.com/spreadsheets/d/1SX6NBoVAgQJ6U1MVXOaj8PK2l7WJ3RER9xtqwdhxkhw/edit?usp=sharing"",""สระบุรี!J165"")"),0.0)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IFERROR(__xludf.DUMMYFUNCTION("IMPORTRANGE(""https://docs.google.com/spreadsheets/d/1SX6NBoVAgQJ6U1MVXOaj8PK2l7WJ3RER9xtqwdhxkhw/edit?usp=sharing"",""สระบุรี!J166"")"),0.0)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IFERROR(__xludf.DUMMYFUNCTION("IMPORTRANGE(""https://docs.google.com/spreadsheets/d/1SX6NBoVAgQJ6U1MVXOaj8PK2l7WJ3RER9xtqwdhxkhw/edit?usp=sharing"",""สระบุรี!I169"")"),20.0)</f>
        <v>20</v>
      </c>
      <c r="J249" s="349">
        <f>IFERROR(__xludf.DUMMYFUNCTION("IMPORTRANGE(""https://docs.google.com/spreadsheets/d/1SX6NBoVAgQJ6U1MVXOaj8PK2l7WJ3RER9xtqwdhxkhw/edit?usp=sharing"",""สระบุรี!J169"")"),20.0)</f>
        <v>20</v>
      </c>
      <c r="K249" s="350">
        <f>IF(I249&gt;0,J249*100/I249,0)</f>
        <v>100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181400</v>
      </c>
      <c r="M250" s="183">
        <f t="shared" si="78"/>
        <v>92000</v>
      </c>
      <c r="N250" s="183">
        <f t="shared" si="78"/>
        <v>44976</v>
      </c>
      <c r="O250" s="182">
        <f t="shared" ref="O250:O252" si="80">IF(L250&gt;0,N250*100/L250,0)</f>
        <v>24.7938258</v>
      </c>
      <c r="P250" s="182">
        <f t="shared" ref="P250:P252" si="81">IF(M250&gt;0,N250*100/M250,0)</f>
        <v>48.88695652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181400</v>
      </c>
      <c r="M252" s="188">
        <f t="shared" si="82"/>
        <v>92000</v>
      </c>
      <c r="N252" s="188">
        <f t="shared" si="82"/>
        <v>44976</v>
      </c>
      <c r="O252" s="187">
        <f t="shared" si="80"/>
        <v>24.7938258</v>
      </c>
      <c r="P252" s="187">
        <f t="shared" si="81"/>
        <v>48.88695652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181400</v>
      </c>
      <c r="M254" s="201">
        <f>IFERROR(__xludf.DUMMYFUNCTION("IMPORTRANGE(""https://docs.google.com/spreadsheets/d/1Yj_ptqi66GCucihVvJfMjLAmec39IyEx_6qawtMGysU/edit?usp=sharing"",""สบก!CB76"")"),92000.0)</f>
        <v>92000</v>
      </c>
      <c r="N254" s="202">
        <f>IFERROR(__xludf.DUMMYFUNCTION("IMPORTRANGE(""https://docs.google.com/spreadsheets/d/1Yj_ptqi66GCucihVvJfMjLAmec39IyEx_6qawtMGysU/edit?usp=sharing"",""สบก!CC76"")"),44976.0)</f>
        <v>44976</v>
      </c>
      <c r="O254" s="203">
        <f>IF(L254&gt;0,N254*100/L254,0)</f>
        <v>24.7938258</v>
      </c>
      <c r="P254" s="203">
        <f>IF(M254&gt;0,N254*100/M254,0)</f>
        <v>48.88695652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IFERROR(__xludf.DUMMYFUNCTION("IMPORTRANGE(""https://docs.google.com/spreadsheets/d/1Yj_ptqi66GCucihVvJfMjLAmec39IyEx_6qawtMGysU/edit?usp=sharing"",""สบก!BX76"")"),0.0)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IFERROR(__xludf.DUMMYFUNCTION("IMPORTRANGE(""https://docs.google.com/spreadsheets/d/1Yj_ptqi66GCucihVvJfMjLAmec39IyEx_6qawtMGysU/edit?usp=sharing"",""สบก!BY76"")"),181400.0)</f>
        <v>181400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IFERROR(__xludf.DUMMYFUNCTION("IMPORTRANGE(""https://docs.google.com/spreadsheets/d/1Yj_ptqi66GCucihVvJfMjLAmec39IyEx_6qawtMGysU/edit?usp=sharing"",""สบก!BZ76"")"),0.0)</f>
        <v>0</v>
      </c>
      <c r="M258" s="125"/>
      <c r="N258" s="115">
        <f>IFERROR(__xludf.DUMMYFUNCTION("IMPORTRANGE(""https://docs.google.com/spreadsheets/d/1Yj_ptqi66GCucihVvJfMjLAmec39IyEx_6qawtMGysU/edit?usp=sharing"",""สบก!CD76"")"),0.0)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IFERROR(__xludf.DUMMYFUNCTION("IMPORTRANGE(""https://docs.google.com/spreadsheets/d/1SX6NBoVAgQJ6U1MVXOaj8PK2l7WJ3RER9xtqwdhxkhw/edit?usp=sharing"",""สระบุรี!J175"")"),0.0)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IFERROR(__xludf.DUMMYFUNCTION("IMPORTRANGE(""https://docs.google.com/spreadsheets/d/1SX6NBoVAgQJ6U1MVXOaj8PK2l7WJ3RER9xtqwdhxkhw/edit?usp=sharing"",""สระบุรี!J176"")"),1.0)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IFERROR(__xludf.DUMMYFUNCTION("IMPORTRANGE(""https://docs.google.com/spreadsheets/d/1SX6NBoVAgQJ6U1MVXOaj8PK2l7WJ3RER9xtqwdhxkhw/edit?usp=sharing"",""สระบุรี!J177"")"),1.0)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IFERROR(__xludf.DUMMYFUNCTION("IMPORTRANGE(""https://docs.google.com/spreadsheets/d/1SX6NBoVAgQJ6U1MVXOaj8PK2l7WJ3RER9xtqwdhxkhw/edit?usp=sharing"",""สระบุรี!J178"")"),1.0)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IFERROR(__xludf.DUMMYFUNCTION("IMPORTRANGE(""https://docs.google.com/spreadsheets/d/1SX6NBoVAgQJ6U1MVXOaj8PK2l7WJ3RER9xtqwdhxkhw/edit?usp=sharing"",""สระบุรี!I179"")"),1.0)</f>
        <v>1</v>
      </c>
      <c r="J264" s="223">
        <f>IFERROR(__xludf.DUMMYFUNCTION("IMPORTRANGE(""https://docs.google.com/spreadsheets/d/1SX6NBoVAgQJ6U1MVXOaj8PK2l7WJ3RER9xtqwdhxkhw/edit?usp=sharing"",""สระบุรี!J179"")"),1.0)</f>
        <v>1</v>
      </c>
      <c r="K264" s="196">
        <f t="shared" ref="K264:K267" si="83">IF(I264&gt;0,J264*100/I264,0)</f>
        <v>100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IFERROR(__xludf.DUMMYFUNCTION("IMPORTRANGE(""https://docs.google.com/spreadsheets/d/1SX6NBoVAgQJ6U1MVXOaj8PK2l7WJ3RER9xtqwdhxkhw/edit?usp=sharing"",""สระบุรี!I180"")"),20.0)</f>
        <v>20</v>
      </c>
      <c r="J265" s="223">
        <f>IFERROR(__xludf.DUMMYFUNCTION("IMPORTRANGE(""https://docs.google.com/spreadsheets/d/1SX6NBoVAgQJ6U1MVXOaj8PK2l7WJ3RER9xtqwdhxkhw/edit?usp=sharing"",""สระบุรี!J180"")"),20.0)</f>
        <v>20</v>
      </c>
      <c r="K265" s="196">
        <f t="shared" si="83"/>
        <v>100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IFERROR(__xludf.DUMMYFUNCTION("IMPORTRANGE(""https://docs.google.com/spreadsheets/d/1SX6NBoVAgQJ6U1MVXOaj8PK2l7WJ3RER9xtqwdhxkhw/edit?usp=sharing"",""สระบุรี!I181"")"),20.0)</f>
        <v>20</v>
      </c>
      <c r="J266" s="223">
        <f>IFERROR(__xludf.DUMMYFUNCTION("IMPORTRANGE(""https://docs.google.com/spreadsheets/d/1SX6NBoVAgQJ6U1MVXOaj8PK2l7WJ3RER9xtqwdhxkhw/edit?usp=sharing"",""สระบุรี!J181"")"),0.0)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IFERROR(__xludf.DUMMYFUNCTION("IMPORTRANGE(""https://docs.google.com/spreadsheets/d/1SX6NBoVAgQJ6U1MVXOaj8PK2l7WJ3RER9xtqwdhxkhw/edit?usp=sharing"",""สระบุรี!I182"")"),1.0)</f>
        <v>1</v>
      </c>
      <c r="J267" s="223">
        <f>IFERROR(__xludf.DUMMYFUNCTION("IMPORTRANGE(""https://docs.google.com/spreadsheets/d/1SX6NBoVAgQJ6U1MVXOaj8PK2l7WJ3RER9xtqwdhxkhw/edit?usp=sharing"",""สระบุรี!J182"")"),1.0)</f>
        <v>1</v>
      </c>
      <c r="K267" s="196">
        <f t="shared" si="83"/>
        <v>100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IFERROR(__xludf.DUMMYFUNCTION("IMPORTRANGE(""https://docs.google.com/spreadsheets/d/1SX6NBoVAgQJ6U1MVXOaj8PK2l7WJ3RER9xtqwdhxkhw/edit?usp=sharing"",""สระบุรี!J183"")"),0.0)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IFERROR(__xludf.DUMMYFUNCTION("IMPORTRANGE(""https://docs.google.com/spreadsheets/d/1SX6NBoVAgQJ6U1MVXOaj8PK2l7WJ3RER9xtqwdhxkhw/edit?usp=sharing"",""สระบุรี!J184"")"),0.0)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IFERROR(__xludf.DUMMYFUNCTION("IMPORTRANGE(""https://docs.google.com/spreadsheets/d/1SX6NBoVAgQJ6U1MVXOaj8PK2l7WJ3RER9xtqwdhxkhw/edit?usp=sharing"",""สระบุรี!I185"")"),15.0)</f>
        <v>15</v>
      </c>
      <c r="J270" s="349">
        <f>IFERROR(__xludf.DUMMYFUNCTION("IMPORTRANGE(""https://docs.google.com/spreadsheets/d/1SX6NBoVAgQJ6U1MVXOaj8PK2l7WJ3RER9xtqwdhxkhw/edit?usp=sharing"",""สระบุรี!J185"")"),15.0)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29290</v>
      </c>
      <c r="O271" s="182">
        <f t="shared" ref="O271:O273" si="86">IF(L271&gt;0,N271*100/L271,0)</f>
        <v>53.0615942</v>
      </c>
      <c r="P271" s="182">
        <f t="shared" ref="P271:P273" si="87">IF(M271&gt;0,N271*100/M271,0)</f>
        <v>90.82170543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29290</v>
      </c>
      <c r="O273" s="187">
        <f t="shared" si="86"/>
        <v>53.0615942</v>
      </c>
      <c r="P273" s="187">
        <f t="shared" si="87"/>
        <v>90.82170543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IFERROR(__xludf.DUMMYFUNCTION("IMPORTRANGE(""https://docs.google.com/spreadsheets/d/1Yj_ptqi66GCucihVvJfMjLAmec39IyEx_6qawtMGysU/edit?usp=sharing"",""สบก!CK76"")"),32250.0)</f>
        <v>32250</v>
      </c>
      <c r="N275" s="202">
        <f>IFERROR(__xludf.DUMMYFUNCTION("IMPORTRANGE(""https://docs.google.com/spreadsheets/d/1Yj_ptqi66GCucihVvJfMjLAmec39IyEx_6qawtMGysU/edit?usp=sharing"",""สบก!CL76"")"),29290.0)</f>
        <v>29290</v>
      </c>
      <c r="O275" s="203">
        <f>IF(L275&gt;0,N275*100/L275,0)</f>
        <v>53.0615942</v>
      </c>
      <c r="P275" s="203">
        <f>IF(M275&gt;0,N275*100/M275,0)</f>
        <v>90.82170543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IFERROR(__xludf.DUMMYFUNCTION("IMPORTRANGE(""https://docs.google.com/spreadsheets/d/1Yj_ptqi66GCucihVvJfMjLAmec39IyEx_6qawtMGysU/edit?usp=sharing"",""สบก!CG76"")"),0.0)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IFERROR(__xludf.DUMMYFUNCTION("IMPORTRANGE(""https://docs.google.com/spreadsheets/d/1Yj_ptqi66GCucihVvJfMjLAmec39IyEx_6qawtMGysU/edit?usp=sharing"",""สบก!CH76"")"),55200.0)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IFERROR(__xludf.DUMMYFUNCTION("IMPORTRANGE(""https://docs.google.com/spreadsheets/d/1Yj_ptqi66GCucihVvJfMjLAmec39IyEx_6qawtMGysU/edit?usp=sharing"",""สบก!CI76"")"),0.0)</f>
        <v>0</v>
      </c>
      <c r="M279" s="125"/>
      <c r="N279" s="115">
        <f>IFERROR(__xludf.DUMMYFUNCTION("IMPORTRANGE(""https://docs.google.com/spreadsheets/d/1Yj_ptqi66GCucihVvJfMjLAmec39IyEx_6qawtMGysU/edit?usp=sharing"",""สบก!CM76"")"),0.0)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IFERROR(__xludf.DUMMYFUNCTION("IMPORTRANGE(""https://docs.google.com/spreadsheets/d/1SX6NBoVAgQJ6U1MVXOaj8PK2l7WJ3RER9xtqwdhxkhw/edit?usp=sharing"",""สระบุรี!J191"")"),0.0)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IFERROR(__xludf.DUMMYFUNCTION("IMPORTRANGE(""https://docs.google.com/spreadsheets/d/1SX6NBoVAgQJ6U1MVXOaj8PK2l7WJ3RER9xtqwdhxkhw/edit?usp=sharing"",""สระบุรี!J192"")"),1.0)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IFERROR(__xludf.DUMMYFUNCTION("IMPORTRANGE(""https://docs.google.com/spreadsheets/d/1SX6NBoVAgQJ6U1MVXOaj8PK2l7WJ3RER9xtqwdhxkhw/edit?usp=sharing"",""สระบุรี!J193"")"),1.0)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IFERROR(__xludf.DUMMYFUNCTION("IMPORTRANGE(""https://docs.google.com/spreadsheets/d/1SX6NBoVAgQJ6U1MVXOaj8PK2l7WJ3RER9xtqwdhxkhw/edit?usp=sharing"",""สระบุรี!J194"")"),1.0)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IFERROR(__xludf.DUMMYFUNCTION("IMPORTRANGE(""https://docs.google.com/spreadsheets/d/1SX6NBoVAgQJ6U1MVXOaj8PK2l7WJ3RER9xtqwdhxkhw/edit?usp=sharing"",""สระบุรี!I195"")"),15.0)</f>
        <v>15</v>
      </c>
      <c r="J285" s="223">
        <f>IFERROR(__xludf.DUMMYFUNCTION("IMPORTRANGE(""https://docs.google.com/spreadsheets/d/1SX6NBoVAgQJ6U1MVXOaj8PK2l7WJ3RER9xtqwdhxkhw/edit?usp=sharing"",""สระบุรี!J195"")"),15.0)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IFERROR(__xludf.DUMMYFUNCTION("IMPORTRANGE(""https://docs.google.com/spreadsheets/d/1SX6NBoVAgQJ6U1MVXOaj8PK2l7WJ3RER9xtqwdhxkhw/edit?usp=sharing"",""สระบุรี!J196"")"),0.0)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IFERROR(__xludf.DUMMYFUNCTION("IMPORTRANGE(""https://docs.google.com/spreadsheets/d/1SX6NBoVAgQJ6U1MVXOaj8PK2l7WJ3RER9xtqwdhxkhw/edit?usp=sharing"",""สระบุรี!J197"")"),0.0)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IFERROR(__xludf.DUMMYFUNCTION("IMPORTRANGE(""https://docs.google.com/spreadsheets/d/1SX6NBoVAgQJ6U1MVXOaj8PK2l7WJ3RER9xtqwdhxkhw/edit?usp=sharing"",""สระบุรี!I199"")"),0.0)</f>
        <v>0</v>
      </c>
      <c r="J289" s="349">
        <f>IFERROR(__xludf.DUMMYFUNCTION("IMPORTRANGE(""https://docs.google.com/spreadsheets/d/1SX6NBoVAgQJ6U1MVXOaj8PK2l7WJ3RER9xtqwdhxkhw/edit?usp=sharing"",""สระบุรี!J199"")"),0.0)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IFERROR(__xludf.DUMMYFUNCTION("IMPORTRANGE(""https://docs.google.com/spreadsheets/d/1Yj_ptqi66GCucihVvJfMjLAmec39IyEx_6qawtMGysU/edit?usp=sharing"",""สบก!CT76"")"),0.0)</f>
        <v>0</v>
      </c>
      <c r="N294" s="202">
        <f>IFERROR(__xludf.DUMMYFUNCTION("IMPORTRANGE(""https://docs.google.com/spreadsheets/d/1Yj_ptqi66GCucihVvJfMjLAmec39IyEx_6qawtMGysU/edit?usp=sharing"",""สบก!CU76"")"),0.0)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IFERROR(__xludf.DUMMYFUNCTION("IMPORTRANGE(""https://docs.google.com/spreadsheets/d/1Yj_ptqi66GCucihVvJfMjLAmec39IyEx_6qawtMGysU/edit?usp=sharing"",""สบก!CP76"")"),0.0)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IFERROR(__xludf.DUMMYFUNCTION("IMPORTRANGE(""https://docs.google.com/spreadsheets/d/1Yj_ptqi66GCucihVvJfMjLAmec39IyEx_6qawtMGysU/edit?usp=sharing"",""สบก!CQ76"")"),0.0)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IFERROR(__xludf.DUMMYFUNCTION("IMPORTRANGE(""https://docs.google.com/spreadsheets/d/1Yj_ptqi66GCucihVvJfMjLAmec39IyEx_6qawtMGysU/edit?usp=sharing"",""สบก!CR76"")"),0.0)</f>
        <v>0</v>
      </c>
      <c r="M298" s="125"/>
      <c r="N298" s="115">
        <f>IFERROR(__xludf.DUMMYFUNCTION("IMPORTRANGE(""https://docs.google.com/spreadsheets/d/1Yj_ptqi66GCucihVvJfMjLAmec39IyEx_6qawtMGysU/edit?usp=sharing"",""สบก!CV76"")"),0.0)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IFERROR(__xludf.DUMMYFUNCTION("IMPORTRANGE(""https://docs.google.com/spreadsheets/d/1SX6NBoVAgQJ6U1MVXOaj8PK2l7WJ3RER9xtqwdhxkhw/edit?usp=sharing"",""สระบุรี!J205"")"),0.0)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IFERROR(__xludf.DUMMYFUNCTION("IMPORTRANGE(""https://docs.google.com/spreadsheets/d/1SX6NBoVAgQJ6U1MVXOaj8PK2l7WJ3RER9xtqwdhxkhw/edit?usp=sharing"",""สระบุรี!J206"")"),0.0)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IFERROR(__xludf.DUMMYFUNCTION("IMPORTRANGE(""https://docs.google.com/spreadsheets/d/1SX6NBoVAgQJ6U1MVXOaj8PK2l7WJ3RER9xtqwdhxkhw/edit?usp=sharing"",""สระบุรี!J207"")"),0.0)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IFERROR(__xludf.DUMMYFUNCTION("IMPORTRANGE(""https://docs.google.com/spreadsheets/d/1SX6NBoVAgQJ6U1MVXOaj8PK2l7WJ3RER9xtqwdhxkhw/edit?usp=sharing"",""สระบุรี!J208"")"),0.0)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IFERROR(__xludf.DUMMYFUNCTION("IMPORTRANGE(""https://docs.google.com/spreadsheets/d/1SX6NBoVAgQJ6U1MVXOaj8PK2l7WJ3RER9xtqwdhxkhw/edit?usp=sharing"",""สระบุรี!I209"")"),0.0)</f>
        <v>0</v>
      </c>
      <c r="J304" s="238">
        <f>IFERROR(__xludf.DUMMYFUNCTION("IMPORTRANGE(""https://docs.google.com/spreadsheets/d/1SX6NBoVAgQJ6U1MVXOaj8PK2l7WJ3RER9xtqwdhxkhw/edit?usp=sharing"",""สระบุรี!J209"")"),0.0)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IFERROR(__xludf.DUMMYFUNCTION("IMPORTRANGE(""https://docs.google.com/spreadsheets/d/1SX6NBoVAgQJ6U1MVXOaj8PK2l7WJ3RER9xtqwdhxkhw/edit?usp=sharing"",""สระบุรี!I211"")"),0.0)</f>
        <v>0</v>
      </c>
      <c r="J306" s="238">
        <f>IFERROR(__xludf.DUMMYFUNCTION("IMPORTRANGE(""https://docs.google.com/spreadsheets/d/1SX6NBoVAgQJ6U1MVXOaj8PK2l7WJ3RER9xtqwdhxkhw/edit?usp=sharing"",""สระบุรี!J211"")"),0.0)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IFERROR(__xludf.DUMMYFUNCTION("IMPORTRANGE(""https://docs.google.com/spreadsheets/d/1SX6NBoVAgQJ6U1MVXOaj8PK2l7WJ3RER9xtqwdhxkhw/edit?usp=sharing"",""สระบุรี!J212"")"),0.0)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IFERROR(__xludf.DUMMYFUNCTION("IMPORTRANGE(""https://docs.google.com/spreadsheets/d/1SX6NBoVAgQJ6U1MVXOaj8PK2l7WJ3RER9xtqwdhxkhw/edit?usp=sharing"",""สระบุรี!J213"")"),0.0)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IFERROR(__xludf.DUMMYFUNCTION("IMPORTRANGE(""https://docs.google.com/spreadsheets/d/1SX6NBoVAgQJ6U1MVXOaj8PK2l7WJ3RER9xtqwdhxkhw/edit?usp=sharing"",""สระบุรี!I214"")"),0.0)</f>
        <v>0</v>
      </c>
      <c r="J309" s="366">
        <f>IFERROR(__xludf.DUMMYFUNCTION("IMPORTRANGE(""https://docs.google.com/spreadsheets/d/1SX6NBoVAgQJ6U1MVXOaj8PK2l7WJ3RER9xtqwdhxkhw/edit?usp=sharing"",""สระบุรี!J214"")"),0.0)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IFERROR(__xludf.DUMMYFUNCTION("IMPORTRANGE(""https://docs.google.com/spreadsheets/d/1Yj_ptqi66GCucihVvJfMjLAmec39IyEx_6qawtMGysU/edit?usp=sharing"",""สบก!DC76"")"),0.0)</f>
        <v>0</v>
      </c>
      <c r="N314" s="202">
        <f>IFERROR(__xludf.DUMMYFUNCTION("IMPORTRANGE(""https://docs.google.com/spreadsheets/d/1Yj_ptqi66GCucihVvJfMjLAmec39IyEx_6qawtMGysU/edit?usp=sharing"",""สบก!DD76"")"),0.0)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IFERROR(__xludf.DUMMYFUNCTION("IMPORTRANGE(""https://docs.google.com/spreadsheets/d/1Yj_ptqi66GCucihVvJfMjLAmec39IyEx_6qawtMGysU/edit?usp=sharing"",""สบก!CY76"")"),0.0)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IFERROR(__xludf.DUMMYFUNCTION("IMPORTRANGE(""https://docs.google.com/spreadsheets/d/1Yj_ptqi66GCucihVvJfMjLAmec39IyEx_6qawtMGysU/edit?usp=sharing"",""สบก!CZ76"")"),0.0)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IFERROR(__xludf.DUMMYFUNCTION("IMPORTRANGE(""https://docs.google.com/spreadsheets/d/1Yj_ptqi66GCucihVvJfMjLAmec39IyEx_6qawtMGysU/edit?usp=sharing"",""สบก!DA76"")"),0.0)</f>
        <v>0</v>
      </c>
      <c r="M318" s="125"/>
      <c r="N318" s="115">
        <f>IFERROR(__xludf.DUMMYFUNCTION("IMPORTRANGE(""https://docs.google.com/spreadsheets/d/1Yj_ptqi66GCucihVvJfMjLAmec39IyEx_6qawtMGysU/edit?usp=sharing"",""สบก!DE76"")"),0.0)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IFERROR(__xludf.DUMMYFUNCTION("IMPORTRANGE(""https://docs.google.com/spreadsheets/d/1SX6NBoVAgQJ6U1MVXOaj8PK2l7WJ3RER9xtqwdhxkhw/edit?usp=sharing"",""สระบุรี!J220"")"),0.0)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IFERROR(__xludf.DUMMYFUNCTION("IMPORTRANGE(""https://docs.google.com/spreadsheets/d/1SX6NBoVAgQJ6U1MVXOaj8PK2l7WJ3RER9xtqwdhxkhw/edit?usp=sharing"",""สระบุรี!J221"")"),0.0)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IFERROR(__xludf.DUMMYFUNCTION("IMPORTRANGE(""https://docs.google.com/spreadsheets/d/1SX6NBoVAgQJ6U1MVXOaj8PK2l7WJ3RER9xtqwdhxkhw/edit?usp=sharing"",""สระบุรี!J222"")"),0.0)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IFERROR(__xludf.DUMMYFUNCTION("IMPORTRANGE(""https://docs.google.com/spreadsheets/d/1SX6NBoVAgQJ6U1MVXOaj8PK2l7WJ3RER9xtqwdhxkhw/edit?usp=sharing"",""สระบุรี!J223"")"),0.0)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IFERROR(__xludf.DUMMYFUNCTION("IMPORTRANGE(""https://docs.google.com/spreadsheets/d/1SX6NBoVAgQJ6U1MVXOaj8PK2l7WJ3RER9xtqwdhxkhw/edit?usp=sharing"",""สระบุรี!I224"")"),0.0)</f>
        <v>0</v>
      </c>
      <c r="J324" s="238">
        <f>IFERROR(__xludf.DUMMYFUNCTION("IMPORTRANGE(""https://docs.google.com/spreadsheets/d/1SX6NBoVAgQJ6U1MVXOaj8PK2l7WJ3RER9xtqwdhxkhw/edit?usp=sharing"",""สระบุรี!J224"")"),0.0)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IFERROR(__xludf.DUMMYFUNCTION("IMPORTRANGE(""https://docs.google.com/spreadsheets/d/1SX6NBoVAgQJ6U1MVXOaj8PK2l7WJ3RER9xtqwdhxkhw/edit?usp=sharing"",""สระบุรี!J225"")"),0.0)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IFERROR(__xludf.DUMMYFUNCTION("IMPORTRANGE(""https://docs.google.com/spreadsheets/d/1SX6NBoVAgQJ6U1MVXOaj8PK2l7WJ3RER9xtqwdhxkhw/edit?usp=sharing"",""สระบุรี!J226"")"),0.0)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IFERROR(__xludf.DUMMYFUNCTION("IMPORTRANGE(""https://docs.google.com/spreadsheets/d/1SX6NBoVAgQJ6U1MVXOaj8PK2l7WJ3RER9xtqwdhxkhw/edit?usp=sharing"",""สระบุรี!I228"")"),150.0)</f>
        <v>150</v>
      </c>
      <c r="J328" s="372">
        <f>IFERROR(__xludf.DUMMYFUNCTION("IMPORTRANGE(""https://docs.google.com/spreadsheets/d/1SX6NBoVAgQJ6U1MVXOaj8PK2l7WJ3RER9xtqwdhxkhw/edit?usp=sharing"",""สระบุรี!J228"")"),33.0)</f>
        <v>33</v>
      </c>
      <c r="K328" s="350">
        <f>IF(I328&gt;0,J328*100/I328,0)</f>
        <v>22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843220</v>
      </c>
      <c r="M329" s="183">
        <f t="shared" si="99"/>
        <v>431570</v>
      </c>
      <c r="N329" s="183">
        <f t="shared" si="99"/>
        <v>272709</v>
      </c>
      <c r="O329" s="182">
        <f t="shared" ref="O329:O331" si="101">IF(L329&gt;0,N329*100/L329,0)</f>
        <v>32.34138185</v>
      </c>
      <c r="P329" s="182">
        <f t="shared" ref="P329:P331" si="102">IF(M329&gt;0,N329*100/M329,0)</f>
        <v>63.18998077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843220</v>
      </c>
      <c r="M331" s="188">
        <f t="shared" si="103"/>
        <v>431570</v>
      </c>
      <c r="N331" s="188">
        <f t="shared" si="103"/>
        <v>272709</v>
      </c>
      <c r="O331" s="187">
        <f t="shared" si="101"/>
        <v>32.34138185</v>
      </c>
      <c r="P331" s="187">
        <f t="shared" si="102"/>
        <v>63.18998077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811220</v>
      </c>
      <c r="M333" s="201">
        <f>IFERROR(__xludf.DUMMYFUNCTION("IMPORTRANGE(""https://docs.google.com/spreadsheets/d/1Yj_ptqi66GCucihVvJfMjLAmec39IyEx_6qawtMGysU/edit?usp=sharing"",""สบก!DL76"")"),431570.0)</f>
        <v>431570</v>
      </c>
      <c r="N333" s="202">
        <f>IFERROR(__xludf.DUMMYFUNCTION("IMPORTRANGE(""https://docs.google.com/spreadsheets/d/1Yj_ptqi66GCucihVvJfMjLAmec39IyEx_6qawtMGysU/edit?usp=sharing"",""สบก!DM76"")"),240709.0)</f>
        <v>240709</v>
      </c>
      <c r="O333" s="203">
        <f>IF(L333&gt;0,N333*100/L333,0)</f>
        <v>29.67246863</v>
      </c>
      <c r="P333" s="203">
        <f>IF(M333&gt;0,N333*100/M333,0)</f>
        <v>55.7751929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IFERROR(__xludf.DUMMYFUNCTION("IMPORTRANGE(""https://docs.google.com/spreadsheets/d/1Yj_ptqi66GCucihVvJfMjLAmec39IyEx_6qawtMGysU/edit?usp=sharing"",""สบก!DH76"")"),471600.0)</f>
        <v>471600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IFERROR(__xludf.DUMMYFUNCTION("IMPORTRANGE(""https://docs.google.com/spreadsheets/d/1Yj_ptqi66GCucihVvJfMjLAmec39IyEx_6qawtMGysU/edit?usp=sharing"",""สบก!DI76"")"),339620.0)</f>
        <v>339620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IFERROR(__xludf.DUMMYFUNCTION("IMPORTRANGE(""https://docs.google.com/spreadsheets/d/1Yj_ptqi66GCucihVvJfMjLAmec39IyEx_6qawtMGysU/edit?usp=sharing"",""สบก!DJ76"")"),32000.0)</f>
        <v>32000</v>
      </c>
      <c r="M337" s="125"/>
      <c r="N337" s="115">
        <f>IFERROR(__xludf.DUMMYFUNCTION("IMPORTRANGE(""https://docs.google.com/spreadsheets/d/1Yj_ptqi66GCucihVvJfMjLAmec39IyEx_6qawtMGysU/edit?usp=sharing"",""สบก!DN76"")"),32000.0)</f>
        <v>32000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IFERROR(__xludf.DUMMYFUNCTION("IMPORTRANGE(""https://docs.google.com/spreadsheets/d/1SX6NBoVAgQJ6U1MVXOaj8PK2l7WJ3RER9xtqwdhxkhw/edit?usp=sharing"",""สระบุรี!I234"")"),0.0)</f>
        <v>0</v>
      </c>
      <c r="J339" s="222">
        <f>IFERROR(__xludf.DUMMYFUNCTION("IMPORTRANGE(""https://docs.google.com/spreadsheets/d/1SX6NBoVAgQJ6U1MVXOaj8PK2l7WJ3RER9xtqwdhxkhw/edit?usp=sharing"",""สระบุรี!J234"")"),0.0)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IFERROR(__xludf.DUMMYFUNCTION("IMPORTRANGE(""https://docs.google.com/spreadsheets/d/1SX6NBoVAgQJ6U1MVXOaj8PK2l7WJ3RER9xtqwdhxkhw/edit?usp=sharing"",""สระบุรี!I235"")"),1640.0)</f>
        <v>1640</v>
      </c>
      <c r="J340" s="222">
        <f>IFERROR(__xludf.DUMMYFUNCTION("IMPORTRANGE(""https://docs.google.com/spreadsheets/d/1SX6NBoVAgQJ6U1MVXOaj8PK2l7WJ3RER9xtqwdhxkhw/edit?usp=sharing"",""สระบุรี!J235"")"),0.0)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IFERROR(__xludf.DUMMYFUNCTION("IMPORTRANGE(""https://docs.google.com/spreadsheets/d/1SX6NBoVAgQJ6U1MVXOaj8PK2l7WJ3RER9xtqwdhxkhw/edit?usp=sharing"",""สระบุรี!I236"")"),150.0)</f>
        <v>150</v>
      </c>
      <c r="J341" s="222">
        <f>IFERROR(__xludf.DUMMYFUNCTION("IMPORTRANGE(""https://docs.google.com/spreadsheets/d/1SX6NBoVAgQJ6U1MVXOaj8PK2l7WJ3RER9xtqwdhxkhw/edit?usp=sharing"",""สระบุรี!J236"")"),34.0)</f>
        <v>34</v>
      </c>
      <c r="K341" s="375">
        <f t="shared" si="104"/>
        <v>22.66666667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IFERROR(__xludf.DUMMYFUNCTION("IMPORTRANGE(""https://docs.google.com/spreadsheets/d/1SX6NBoVAgQJ6U1MVXOaj8PK2l7WJ3RER9xtqwdhxkhw/edit?usp=sharing"",""สระบุรี!I237"")"),0.0)</f>
        <v>0</v>
      </c>
      <c r="J342" s="222">
        <f>IFERROR(__xludf.DUMMYFUNCTION("IMPORTRANGE(""https://docs.google.com/spreadsheets/d/1SX6NBoVAgQJ6U1MVXOaj8PK2l7WJ3RER9xtqwdhxkhw/edit?usp=sharing"",""สระบุรี!J237"")"),599.8)</f>
        <v>599.8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IFERROR(__xludf.DUMMYFUNCTION("IMPORTRANGE(""https://docs.google.com/spreadsheets/d/1SX6NBoVAgQJ6U1MVXOaj8PK2l7WJ3RER9xtqwdhxkhw/edit?usp=sharing"",""สระบุรี!I238"")"),150.0)</f>
        <v>150</v>
      </c>
      <c r="J343" s="222">
        <f>IFERROR(__xludf.DUMMYFUNCTION("IMPORTRANGE(""https://docs.google.com/spreadsheets/d/1SX6NBoVAgQJ6U1MVXOaj8PK2l7WJ3RER9xtqwdhxkhw/edit?usp=sharing"",""สระบุรี!J238"")"),0.0)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IFERROR(__xludf.DUMMYFUNCTION("IMPORTRANGE(""https://docs.google.com/spreadsheets/d/1SX6NBoVAgQJ6U1MVXOaj8PK2l7WJ3RER9xtqwdhxkhw/edit?usp=sharing"",""สระบุรี!I239"")"),0.0)</f>
        <v>0</v>
      </c>
      <c r="J344" s="222">
        <f>IFERROR(__xludf.DUMMYFUNCTION("IMPORTRANGE(""https://docs.google.com/spreadsheets/d/1SX6NBoVAgQJ6U1MVXOaj8PK2l7WJ3RER9xtqwdhxkhw/edit?usp=sharing"",""สระบุรี!J239"")"),0.0)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IFERROR(__xludf.DUMMYFUNCTION("IMPORTRANGE(""https://docs.google.com/spreadsheets/d/1SX6NBoVAgQJ6U1MVXOaj8PK2l7WJ3RER9xtqwdhxkhw/edit?usp=sharing"",""สระบุรี!I240"")"),150.0)</f>
        <v>150</v>
      </c>
      <c r="J345" s="222">
        <f>IFERROR(__xludf.DUMMYFUNCTION("IMPORTRANGE(""https://docs.google.com/spreadsheets/d/1SX6NBoVAgQJ6U1MVXOaj8PK2l7WJ3RER9xtqwdhxkhw/edit?usp=sharing"",""สระบุรี!J240"")"),33.0)</f>
        <v>33</v>
      </c>
      <c r="K345" s="375">
        <f t="shared" si="104"/>
        <v>22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IFERROR(__xludf.DUMMYFUNCTION("IMPORTRANGE(""https://docs.google.com/spreadsheets/d/1SX6NBoVAgQJ6U1MVXOaj8PK2l7WJ3RER9xtqwdhxkhw/edit?usp=sharing"",""สระบุรี!I241"")"),0.0)</f>
        <v>0</v>
      </c>
      <c r="J346" s="222">
        <f>IFERROR(__xludf.DUMMYFUNCTION("IMPORTRANGE(""https://docs.google.com/spreadsheets/d/1SX6NBoVAgQJ6U1MVXOaj8PK2l7WJ3RER9xtqwdhxkhw/edit?usp=sharing"",""สระบุรี!J241"")"),595.86)</f>
        <v>595.86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IFERROR(__xludf.DUMMYFUNCTION("IMPORTRANGE(""https://docs.google.com/spreadsheets/d/1SX6NBoVAgQJ6U1MVXOaj8PK2l7WJ3RER9xtqwdhxkhw/edit?usp=sharing"",""สระบุรี!L242"")"),1313814.0)</f>
        <v>1313814</v>
      </c>
      <c r="M347" s="391"/>
      <c r="N347" s="391">
        <f>IFERROR(__xludf.DUMMYFUNCTION("IMPORTRANGE(""https://docs.google.com/spreadsheets/d/1SX6NBoVAgQJ6U1MVXOaj8PK2l7WJ3RER9xtqwdhxkhw/edit?usp=sharing"",""สระบุรี!M242"")"),47900.0)</f>
        <v>47900</v>
      </c>
      <c r="O347" s="391">
        <f>+IF(L347&gt;0,N347*100/L347,0)</f>
        <v>3.645873769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IFERROR(__xludf.DUMMYFUNCTION("IMPORTRANGE(""https://docs.google.com/spreadsheets/d/1SX6NBoVAgQJ6U1MVXOaj8PK2l7WJ3RER9xtqwdhxkhw/edit?usp=sharing"",""สระบุรี!I244"")"),60.0)</f>
        <v>60</v>
      </c>
      <c r="J349" s="404">
        <f>IFERROR(__xludf.DUMMYFUNCTION("IMPORTRANGE(""https://docs.google.com/spreadsheets/d/1SX6NBoVAgQJ6U1MVXOaj8PK2l7WJ3RER9xtqwdhxkhw/edit?usp=sharing"",""สระบุรี!J244"")"),0.0)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IFERROR(__xludf.DUMMYFUNCTION("IMPORTRANGE(""https://docs.google.com/spreadsheets/d/1SX6NBoVAgQJ6U1MVXOaj8PK2l7WJ3RER9xtqwdhxkhw/edit?usp=sharing"",""สระบุรี!L244"")"),93120.0)</f>
        <v>93120</v>
      </c>
      <c r="M349" s="406"/>
      <c r="N349" s="406">
        <f>IFERROR(__xludf.DUMMYFUNCTION("IMPORTRANGE(""https://docs.google.com/spreadsheets/d/1SX6NBoVAgQJ6U1MVXOaj8PK2l7WJ3RER9xtqwdhxkhw/edit?usp=sharing"",""สระบุรี!M244"")"),0.0)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IFERROR(__xludf.DUMMYFUNCTION("IMPORTRANGE(""https://docs.google.com/spreadsheets/d/1SX6NBoVAgQJ6U1MVXOaj8PK2l7WJ3RER9xtqwdhxkhw/edit?usp=sharing"",""สระบุรี!I245"")"),20.0)</f>
        <v>20</v>
      </c>
      <c r="J350" s="404">
        <f>IFERROR(__xludf.DUMMYFUNCTION("IMPORTRANGE(""https://docs.google.com/spreadsheets/d/1SX6NBoVAgQJ6U1MVXOaj8PK2l7WJ3RER9xtqwdhxkhw/edit?usp=sharing"",""สระบุรี!J245"")"),0.0)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IFERROR(__xludf.DUMMYFUNCTION("IMPORTRANGE(""https://docs.google.com/spreadsheets/d/1SX6NBoVAgQJ6U1MVXOaj8PK2l7WJ3RER9xtqwdhxkhw/edit?usp=sharing"",""สระบุรี!L246"")"),0.0)</f>
        <v>0</v>
      </c>
      <c r="M351" s="197"/>
      <c r="N351" s="197">
        <f>IFERROR(__xludf.DUMMYFUNCTION("IMPORTRANGE(""https://docs.google.com/spreadsheets/d/1SX6NBoVAgQJ6U1MVXOaj8PK2l7WJ3RER9xtqwdhxkhw/edit?usp=sharing"",""สระบุรี!M246"")"),0.0)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IFERROR(__xludf.DUMMYFUNCTION("IMPORTRANGE(""https://docs.google.com/spreadsheets/d/1SX6NBoVAgQJ6U1MVXOaj8PK2l7WJ3RER9xtqwdhxkhw/edit?usp=sharing"",""สระบุรี!L247"")"),93120.0)</f>
        <v>93120</v>
      </c>
      <c r="M352" s="198"/>
      <c r="N352" s="197">
        <f>IFERROR(__xludf.DUMMYFUNCTION("IMPORTRANGE(""https://docs.google.com/spreadsheets/d/1SX6NBoVAgQJ6U1MVXOaj8PK2l7WJ3RER9xtqwdhxkhw/edit?usp=sharing"",""สระบุรี!M247"")"),0.0)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IFERROR(__xludf.DUMMYFUNCTION("IMPORTRANGE(""https://docs.google.com/spreadsheets/d/1SX6NBoVAgQJ6U1MVXOaj8PK2l7WJ3RER9xtqwdhxkhw/edit?usp=sharing"",""สระบุรี!L248"")"),0.0)</f>
        <v>0</v>
      </c>
      <c r="M353" s="203"/>
      <c r="N353" s="203">
        <f>IFERROR(__xludf.DUMMYFUNCTION("IMPORTRANGE(""https://docs.google.com/spreadsheets/d/1SX6NBoVAgQJ6U1MVXOaj8PK2l7WJ3RER9xtqwdhxkhw/edit?usp=sharing"",""สระบุรี!M248"")"),0.0)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IFERROR(__xludf.DUMMYFUNCTION("IMPORTRANGE(""https://docs.google.com/spreadsheets/d/1SX6NBoVAgQJ6U1MVXOaj8PK2l7WJ3RER9xtqwdhxkhw/edit?usp=sharing"",""สระบุรี!L249"")"),93120.0)</f>
        <v>93120</v>
      </c>
      <c r="M354" s="203"/>
      <c r="N354" s="200">
        <f>IFERROR(__xludf.DUMMYFUNCTION("IMPORTRANGE(""https://docs.google.com/spreadsheets/d/1SX6NBoVAgQJ6U1MVXOaj8PK2l7WJ3RER9xtqwdhxkhw/edit?usp=sharing"",""สระบุรี!M249"")"),0.0)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IFERROR(__xludf.DUMMYFUNCTION("IMPORTRANGE(""https://docs.google.com/spreadsheets/d/1SX6NBoVAgQJ6U1MVXOaj8PK2l7WJ3RER9xtqwdhxkhw/edit?usp=sharing"",""สระบุรี!M250"")"),0.0)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IFERROR(__xludf.DUMMYFUNCTION("IMPORTRANGE(""https://docs.google.com/spreadsheets/d/1SX6NBoVAgQJ6U1MVXOaj8PK2l7WJ3RER9xtqwdhxkhw/edit?usp=sharing"",""สระบุรี!M251"")"),0.0)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IFERROR(__xludf.DUMMYFUNCTION("IMPORTRANGE(""https://docs.google.com/spreadsheets/d/1SX6NBoVAgQJ6U1MVXOaj8PK2l7WJ3RER9xtqwdhxkhw/edit?usp=sharing"",""สระบุรี!M252"")"),0.0)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IFERROR(__xludf.DUMMYFUNCTION("IMPORTRANGE(""https://docs.google.com/spreadsheets/d/1SX6NBoVAgQJ6U1MVXOaj8PK2l7WJ3RER9xtqwdhxkhw/edit?usp=sharing"",""สระบุรี!M253"")"),0.0)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IFERROR(__xludf.DUMMYFUNCTION("IMPORTRANGE(""https://docs.google.com/spreadsheets/d/1SX6NBoVAgQJ6U1MVXOaj8PK2l7WJ3RER9xtqwdhxkhw/edit?usp=sharing"",""สระบุรี!J255"")"),0.0)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IFERROR(__xludf.DUMMYFUNCTION("IMPORTRANGE(""https://docs.google.com/spreadsheets/d/1SX6NBoVAgQJ6U1MVXOaj8PK2l7WJ3RER9xtqwdhxkhw/edit?usp=sharing"",""สระบุรี!J256"")"),0.0)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IFERROR(__xludf.DUMMYFUNCTION("IMPORTRANGE(""https://docs.google.com/spreadsheets/d/1SX6NBoVAgQJ6U1MVXOaj8PK2l7WJ3RER9xtqwdhxkhw/edit?usp=sharing"",""สระบุรี!J257"")"),0.0)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IFERROR(__xludf.DUMMYFUNCTION("IMPORTRANGE(""https://docs.google.com/spreadsheets/d/1SX6NBoVAgQJ6U1MVXOaj8PK2l7WJ3RER9xtqwdhxkhw/edit?usp=sharing"",""สระบุรี!J258"")"),0.0)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IFERROR(__xludf.DUMMYFUNCTION("IMPORTRANGE(""https://docs.google.com/spreadsheets/d/1SX6NBoVAgQJ6U1MVXOaj8PK2l7WJ3RER9xtqwdhxkhw/edit?usp=sharing"",""สระบุรี!J166"")"),0.0)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IFERROR(__xludf.DUMMYFUNCTION("IMPORTRANGE(""https://docs.google.com/spreadsheets/d/1SX6NBoVAgQJ6U1MVXOaj8PK2l7WJ3RER9xtqwdhxkhw/edit?usp=sharing"",""สระบุรี!J166"")"),0.0)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IFERROR(__xludf.DUMMYFUNCTION("IMPORTRANGE(""https://docs.google.com/spreadsheets/d/1SX6NBoVAgQJ6U1MVXOaj8PK2l7WJ3RER9xtqwdhxkhw/edit?usp=sharing"",""สระบุรี!J166"")"),0.0)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IFERROR(__xludf.DUMMYFUNCTION("IMPORTRANGE(""https://docs.google.com/spreadsheets/d/1SX6NBoVAgQJ6U1MVXOaj8PK2l7WJ3RER9xtqwdhxkhw/edit?usp=sharing"",""สระบุรี!J166"")"),0.0)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IFERROR(__xludf.DUMMYFUNCTION("IMPORTRANGE(""https://docs.google.com/spreadsheets/d/1SX6NBoVAgQJ6U1MVXOaj8PK2l7WJ3RER9xtqwdhxkhw/edit?usp=sharing"",""สระบุรี!I263"")"),20.0)</f>
        <v>20</v>
      </c>
      <c r="J368" s="222">
        <f>IFERROR(__xludf.DUMMYFUNCTION("IMPORTRANGE(""https://docs.google.com/spreadsheets/d/1SX6NBoVAgQJ6U1MVXOaj8PK2l7WJ3RER9xtqwdhxkhw/edit?usp=sharing"",""สระบุรี!J263"")"),0.0)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IFERROR(__xludf.DUMMYFUNCTION("IMPORTRANGE(""https://docs.google.com/spreadsheets/d/1SX6NBoVAgQJ6U1MVXOaj8PK2l7WJ3RER9xtqwdhxkhw/edit?usp=sharing"",""สระบุรี!I164"")"),0.0)</f>
        <v>0</v>
      </c>
      <c r="J369" s="238">
        <f>IFERROR(__xludf.DUMMYFUNCTION("IMPORTRANGE(""https://docs.google.com/spreadsheets/d/1SX6NBoVAgQJ6U1MVXOaj8PK2l7WJ3RER9xtqwdhxkhw/edit?usp=sharing"",""สระบุรี!J164"")"),0.0)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IFERROR(__xludf.DUMMYFUNCTION("IMPORTRANGE(""https://docs.google.com/spreadsheets/d/1SX6NBoVAgQJ6U1MVXOaj8PK2l7WJ3RER9xtqwdhxkhw/edit?usp=sharing"",""สระบุรี!I265"")"),20.0)</f>
        <v>20</v>
      </c>
      <c r="J370" s="238">
        <f>IFERROR(__xludf.DUMMYFUNCTION("IMPORTRANGE(""https://docs.google.com/spreadsheets/d/1SX6NBoVAgQJ6U1MVXOaj8PK2l7WJ3RER9xtqwdhxkhw/edit?usp=sharing"",""สระบุรี!J265"")"),0.0)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IFERROR(__xludf.DUMMYFUNCTION("IMPORTRANGE(""https://docs.google.com/spreadsheets/d/1SX6NBoVAgQJ6U1MVXOaj8PK2l7WJ3RER9xtqwdhxkhw/edit?usp=sharing"",""สระบุรี!I164"")"),0.0)</f>
        <v>0</v>
      </c>
      <c r="J371" s="223">
        <f>IFERROR(__xludf.DUMMYFUNCTION("IMPORTRANGE(""https://docs.google.com/spreadsheets/d/1SX6NBoVAgQJ6U1MVXOaj8PK2l7WJ3RER9xtqwdhxkhw/edit?usp=sharing"",""สระบุรี!J164"")"),0.0)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IFERROR(__xludf.DUMMYFUNCTION("IMPORTRANGE(""https://docs.google.com/spreadsheets/d/1SX6NBoVAgQJ6U1MVXOaj8PK2l7WJ3RER9xtqwdhxkhw/edit?usp=sharing"",""สระบุรี!I267"")"),20.0)</f>
        <v>20</v>
      </c>
      <c r="J372" s="223">
        <f>IFERROR(__xludf.DUMMYFUNCTION("IMPORTRANGE(""https://docs.google.com/spreadsheets/d/1SX6NBoVAgQJ6U1MVXOaj8PK2l7WJ3RER9xtqwdhxkhw/edit?usp=sharing"",""สระบุรี!J267"")"),0.0)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IFERROR(__xludf.DUMMYFUNCTION("IMPORTRANGE(""https://docs.google.com/spreadsheets/d/1SX6NBoVAgQJ6U1MVXOaj8PK2l7WJ3RER9xtqwdhxkhw/edit?usp=sharing"",""สระบุรี!I164"")"),0.0)</f>
        <v>0</v>
      </c>
      <c r="J373" s="238">
        <f>IFERROR(__xludf.DUMMYFUNCTION("IMPORTRANGE(""https://docs.google.com/spreadsheets/d/1SX6NBoVAgQJ6U1MVXOaj8PK2l7WJ3RER9xtqwdhxkhw/edit?usp=sharing"",""สระบุรี!J164"")"),0.0)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IFERROR(__xludf.DUMMYFUNCTION("IMPORTRANGE(""https://docs.google.com/spreadsheets/d/1SX6NBoVAgQJ6U1MVXOaj8PK2l7WJ3RER9xtqwdhxkhw/edit?usp=sharing"",""สระบุรี!I164"")"),0.0)</f>
        <v>0</v>
      </c>
      <c r="J374" s="222">
        <f>IFERROR(__xludf.DUMMYFUNCTION("IMPORTRANGE(""https://docs.google.com/spreadsheets/d/1SX6NBoVAgQJ6U1MVXOaj8PK2l7WJ3RER9xtqwdhxkhw/edit?usp=sharing"",""สระบุรี!J164"")"),0.0)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IFERROR(__xludf.DUMMYFUNCTION("IMPORTRANGE(""https://docs.google.com/spreadsheets/d/1SX6NBoVAgQJ6U1MVXOaj8PK2l7WJ3RER9xtqwdhxkhw/edit?usp=sharing"",""สระบุรี!I270"")"),60.0)</f>
        <v>60</v>
      </c>
      <c r="J375" s="222">
        <f>IFERROR(__xludf.DUMMYFUNCTION("IMPORTRANGE(""https://docs.google.com/spreadsheets/d/1SX6NBoVAgQJ6U1MVXOaj8PK2l7WJ3RER9xtqwdhxkhw/edit?usp=sharing"",""สระบุรี!J270"")"),0.0)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IFERROR(__xludf.DUMMYFUNCTION("IMPORTRANGE(""https://docs.google.com/spreadsheets/d/1SX6NBoVAgQJ6U1MVXOaj8PK2l7WJ3RER9xtqwdhxkhw/edit?usp=sharing"",""สระบุรี!I271"")"),0.0)</f>
        <v>0</v>
      </c>
      <c r="J376" s="223">
        <f>IFERROR(__xludf.DUMMYFUNCTION("IMPORTRANGE(""https://docs.google.com/spreadsheets/d/1SX6NBoVAgQJ6U1MVXOaj8PK2l7WJ3RER9xtqwdhxkhw/edit?usp=sharing"",""สระบุรี!J271"")"),0.0)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IFERROR(__xludf.DUMMYFUNCTION("IMPORTRANGE(""https://docs.google.com/spreadsheets/d/1SX6NBoVAgQJ6U1MVXOaj8PK2l7WJ3RER9xtqwdhxkhw/edit?usp=sharing"",""สระบุรี!I272"")"),60.0)</f>
        <v>60</v>
      </c>
      <c r="J377" s="238">
        <f>IFERROR(__xludf.DUMMYFUNCTION("IMPORTRANGE(""https://docs.google.com/spreadsheets/d/1SX6NBoVAgQJ6U1MVXOaj8PK2l7WJ3RER9xtqwdhxkhw/edit?usp=sharing"",""สระบุรี!J272"")"),0.0)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IFERROR(__xludf.DUMMYFUNCTION("IMPORTRANGE(""https://docs.google.com/spreadsheets/d/1SX6NBoVAgQJ6U1MVXOaj8PK2l7WJ3RER9xtqwdhxkhw/edit?usp=sharing"",""สระบุรี!J273"")"),0.0)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IFERROR(__xludf.DUMMYFUNCTION("IMPORTRANGE(""https://docs.google.com/spreadsheets/d/1SX6NBoVAgQJ6U1MVXOaj8PK2l7WJ3RER9xtqwdhxkhw/edit?usp=sharing"",""สระบุรี!J274"")"),0.0)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IFERROR(__xludf.DUMMYFUNCTION("IMPORTRANGE(""https://docs.google.com/spreadsheets/d/1SX6NBoVAgQJ6U1MVXOaj8PK2l7WJ3RER9xtqwdhxkhw/edit?usp=sharing"",""สระบุรี!I275"")"),200.0)</f>
        <v>200</v>
      </c>
      <c r="J380" s="404">
        <f>IFERROR(__xludf.DUMMYFUNCTION("IMPORTRANGE(""https://docs.google.com/spreadsheets/d/1SX6NBoVAgQJ6U1MVXOaj8PK2l7WJ3RER9xtqwdhxkhw/edit?usp=sharing"",""สระบุรี!J275"")"),0.0)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IFERROR(__xludf.DUMMYFUNCTION("IMPORTRANGE(""https://docs.google.com/spreadsheets/d/1SX6NBoVAgQJ6U1MVXOaj8PK2l7WJ3RER9xtqwdhxkhw/edit?usp=sharing"",""สระบุรี!L275"")"),207560.0)</f>
        <v>207560</v>
      </c>
      <c r="M380" s="406"/>
      <c r="N380" s="406">
        <f>IFERROR(__xludf.DUMMYFUNCTION("IMPORTRANGE(""https://docs.google.com/spreadsheets/d/1SX6NBoVAgQJ6U1MVXOaj8PK2l7WJ3RER9xtqwdhxkhw/edit?usp=sharing"",""สระบุรี!M275"")"),47900.0)</f>
        <v>47900</v>
      </c>
      <c r="O380" s="406">
        <f>+IF(L380&gt;0,N380*100/L380,0)</f>
        <v>23.07766429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IFERROR(__xludf.DUMMYFUNCTION("IMPORTRANGE(""https://docs.google.com/spreadsheets/d/1SX6NBoVAgQJ6U1MVXOaj8PK2l7WJ3RER9xtqwdhxkhw/edit?usp=sharing"",""สระบุรี!I276"")"),20.0)</f>
        <v>20</v>
      </c>
      <c r="J381" s="404">
        <f>IFERROR(__xludf.DUMMYFUNCTION("IMPORTRANGE(""https://docs.google.com/spreadsheets/d/1SX6NBoVAgQJ6U1MVXOaj8PK2l7WJ3RER9xtqwdhxkhw/edit?usp=sharing"",""สระบุรี!J276"")"),20.0)</f>
        <v>20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IFERROR(__xludf.DUMMYFUNCTION("IMPORTRANGE(""https://docs.google.com/spreadsheets/d/1SX6NBoVAgQJ6U1MVXOaj8PK2l7WJ3RER9xtqwdhxkhw/edit?usp=sharing"",""สระบุรี!L277"")"),0.0)</f>
        <v>0</v>
      </c>
      <c r="M382" s="197"/>
      <c r="N382" s="197">
        <f>IFERROR(__xludf.DUMMYFUNCTION("IMPORTRANGE(""https://docs.google.com/spreadsheets/d/1SX6NBoVAgQJ6U1MVXOaj8PK2l7WJ3RER9xtqwdhxkhw/edit?usp=sharing"",""สระบุรี!M277"")"),0.0)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IFERROR(__xludf.DUMMYFUNCTION("IMPORTRANGE(""https://docs.google.com/spreadsheets/d/1SX6NBoVAgQJ6U1MVXOaj8PK2l7WJ3RER9xtqwdhxkhw/edit?usp=sharing"",""สระบุรี!L278"")"),207560.0)</f>
        <v>207560</v>
      </c>
      <c r="M383" s="198"/>
      <c r="N383" s="198">
        <f>IFERROR(__xludf.DUMMYFUNCTION("IMPORTRANGE(""https://docs.google.com/spreadsheets/d/1SX6NBoVAgQJ6U1MVXOaj8PK2l7WJ3RER9xtqwdhxkhw/edit?usp=sharing"",""สระบุรี!M278"")"),47900.0)</f>
        <v>47900</v>
      </c>
      <c r="O383" s="198">
        <f t="shared" si="110"/>
        <v>23.07766429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IFERROR(__xludf.DUMMYFUNCTION("IMPORTRANGE(""https://docs.google.com/spreadsheets/d/1SX6NBoVAgQJ6U1MVXOaj8PK2l7WJ3RER9xtqwdhxkhw/edit?usp=sharing"",""สระบุรี!L279"")"),0.0)</f>
        <v>0</v>
      </c>
      <c r="M384" s="203"/>
      <c r="N384" s="203">
        <f>IFERROR(__xludf.DUMMYFUNCTION("IMPORTRANGE(""https://docs.google.com/spreadsheets/d/1SX6NBoVAgQJ6U1MVXOaj8PK2l7WJ3RER9xtqwdhxkhw/edit?usp=sharing"",""สระบุรี!M279"")"),0.0)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IFERROR(__xludf.DUMMYFUNCTION("IMPORTRANGE(""https://docs.google.com/spreadsheets/d/1SX6NBoVAgQJ6U1MVXOaj8PK2l7WJ3RER9xtqwdhxkhw/edit?usp=sharing"",""สระบุรี!L280"")"),207560.0)</f>
        <v>207560</v>
      </c>
      <c r="M385" s="203"/>
      <c r="N385" s="200">
        <f>IFERROR(__xludf.DUMMYFUNCTION("IMPORTRANGE(""https://docs.google.com/spreadsheets/d/1SX6NBoVAgQJ6U1MVXOaj8PK2l7WJ3RER9xtqwdhxkhw/edit?usp=sharing"",""สระบุรี!M280"")"),47900.0)</f>
        <v>47900</v>
      </c>
      <c r="O385" s="203">
        <f t="shared" si="110"/>
        <v>23.07766429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IFERROR(__xludf.DUMMYFUNCTION("IMPORTRANGE(""https://docs.google.com/spreadsheets/d/1SX6NBoVAgQJ6U1MVXOaj8PK2l7WJ3RER9xtqwdhxkhw/edit?usp=sharing"",""สระบุรี!M281"")"),36580.0)</f>
        <v>36580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IFERROR(__xludf.DUMMYFUNCTION("IMPORTRANGE(""https://docs.google.com/spreadsheets/d/1SX6NBoVAgQJ6U1MVXOaj8PK2l7WJ3RER9xtqwdhxkhw/edit?usp=sharing"",""สระบุรี!M282"")"),0.0)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IFERROR(__xludf.DUMMYFUNCTION("IMPORTRANGE(""https://docs.google.com/spreadsheets/d/1SX6NBoVAgQJ6U1MVXOaj8PK2l7WJ3RER9xtqwdhxkhw/edit?usp=sharing"",""สระบุรี!M283"")"),0.0)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IFERROR(__xludf.DUMMYFUNCTION("IMPORTRANGE(""https://docs.google.com/spreadsheets/d/1SX6NBoVAgQJ6U1MVXOaj8PK2l7WJ3RER9xtqwdhxkhw/edit?usp=sharing"",""สระบุรี!M284"")"),11320.0)</f>
        <v>11320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IFERROR(__xludf.DUMMYFUNCTION("IMPORTRANGE(""https://docs.google.com/spreadsheets/d/1SX6NBoVAgQJ6U1MVXOaj8PK2l7WJ3RER9xtqwdhxkhw/edit?usp=sharing"",""สระบุรี!J286"")"),0.0)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IFERROR(__xludf.DUMMYFUNCTION("IMPORTRANGE(""https://docs.google.com/spreadsheets/d/1SX6NBoVAgQJ6U1MVXOaj8PK2l7WJ3RER9xtqwdhxkhw/edit?usp=sharing"",""สระบุรี!J287"")"),0.0)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IFERROR(__xludf.DUMMYFUNCTION("IMPORTRANGE(""https://docs.google.com/spreadsheets/d/1SX6NBoVAgQJ6U1MVXOaj8PK2l7WJ3RER9xtqwdhxkhw/edit?usp=sharing"",""สระบุรี!J288"")"),0.0)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IFERROR(__xludf.DUMMYFUNCTION("IMPORTRANGE(""https://docs.google.com/spreadsheets/d/1SX6NBoVAgQJ6U1MVXOaj8PK2l7WJ3RER9xtqwdhxkhw/edit?usp=sharing"",""สระบุรี!J289"")"),0.0)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IFERROR(__xludf.DUMMYFUNCTION("IMPORTRANGE(""https://docs.google.com/spreadsheets/d/1SX6NBoVAgQJ6U1MVXOaj8PK2l7WJ3RER9xtqwdhxkhw/edit?usp=sharing"",""สระบุรี!I291"")"),20.0)</f>
        <v>20</v>
      </c>
      <c r="J396" s="232">
        <f>IFERROR(__xludf.DUMMYFUNCTION("IMPORTRANGE(""https://docs.google.com/spreadsheets/d/1SX6NBoVAgQJ6U1MVXOaj8PK2l7WJ3RER9xtqwdhxkhw/edit?usp=sharing"",""สระบุรี!J291"")"),20.0)</f>
        <v>20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IFERROR(__xludf.DUMMYFUNCTION("IMPORTRANGE(""https://docs.google.com/spreadsheets/d/1SX6NBoVAgQJ6U1MVXOaj8PK2l7WJ3RER9xtqwdhxkhw/edit?usp=sharing"",""สระบุรี!I292"")"),200.0)</f>
        <v>200</v>
      </c>
      <c r="J397" s="232">
        <f>IFERROR(__xludf.DUMMYFUNCTION("IMPORTRANGE(""https://docs.google.com/spreadsheets/d/1SX6NBoVAgQJ6U1MVXOaj8PK2l7WJ3RER9xtqwdhxkhw/edit?usp=sharing"",""สระบุรี!J292"")"),0.0)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IFERROR(__xludf.DUMMYFUNCTION("IMPORTRANGE(""https://docs.google.com/spreadsheets/d/1SX6NBoVAgQJ6U1MVXOaj8PK2l7WJ3RER9xtqwdhxkhw/edit?usp=sharing"",""สระบุรี!I293"")"),20.0)</f>
        <v>20</v>
      </c>
      <c r="J398" s="232">
        <f>IFERROR(__xludf.DUMMYFUNCTION("IMPORTRANGE(""https://docs.google.com/spreadsheets/d/1SX6NBoVAgQJ6U1MVXOaj8PK2l7WJ3RER9xtqwdhxkhw/edit?usp=sharing"",""สระบุรี!J293"")"),0.0)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IFERROR(__xludf.DUMMYFUNCTION("IMPORTRANGE(""https://docs.google.com/spreadsheets/d/1SX6NBoVAgQJ6U1MVXOaj8PK2l7WJ3RER9xtqwdhxkhw/edit?usp=sharing"",""สระบุรี!J294"")"),0.0)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IFERROR(__xludf.DUMMYFUNCTION("IMPORTRANGE(""https://docs.google.com/spreadsheets/d/1SX6NBoVAgQJ6U1MVXOaj8PK2l7WJ3RER9xtqwdhxkhw/edit?usp=sharing"",""สระบุรี!J295"")"),0.0)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IFERROR(__xludf.DUMMYFUNCTION("IMPORTRANGE(""https://docs.google.com/spreadsheets/d/1SX6NBoVAgQJ6U1MVXOaj8PK2l7WJ3RER9xtqwdhxkhw/edit?usp=sharing"",""สระบุรี!I296"")"),90.0)</f>
        <v>90</v>
      </c>
      <c r="J401" s="404">
        <f>IFERROR(__xludf.DUMMYFUNCTION("IMPORTRANGE(""https://docs.google.com/spreadsheets/d/1SX6NBoVAgQJ6U1MVXOaj8PK2l7WJ3RER9xtqwdhxkhw/edit?usp=sharing"",""สระบุรี!J296"")"),0.0)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IFERROR(__xludf.DUMMYFUNCTION("IMPORTRANGE(""https://docs.google.com/spreadsheets/d/1SX6NBoVAgQJ6U1MVXOaj8PK2l7WJ3RER9xtqwdhxkhw/edit?usp=sharing"",""สระบุรี!L296"")"),101920.0)</f>
        <v>101920</v>
      </c>
      <c r="M401" s="406"/>
      <c r="N401" s="406">
        <f>IFERROR(__xludf.DUMMYFUNCTION("IMPORTRANGE(""https://docs.google.com/spreadsheets/d/1SX6NBoVAgQJ6U1MVXOaj8PK2l7WJ3RER9xtqwdhxkhw/edit?usp=sharing"",""สระบุรี!M296"")"),0.0)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IFERROR(__xludf.DUMMYFUNCTION("IMPORTRANGE(""https://docs.google.com/spreadsheets/d/1SX6NBoVAgQJ6U1MVXOaj8PK2l7WJ3RER9xtqwdhxkhw/edit?usp=sharing"",""สระบุรี!I297"")"),30.0)</f>
        <v>30</v>
      </c>
      <c r="J402" s="404">
        <f>IFERROR(__xludf.DUMMYFUNCTION("IMPORTRANGE(""https://docs.google.com/spreadsheets/d/1SX6NBoVAgQJ6U1MVXOaj8PK2l7WJ3RER9xtqwdhxkhw/edit?usp=sharing"",""สระบุรี!J297"")"),0.0)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IFERROR(__xludf.DUMMYFUNCTION("IMPORTRANGE(""https://docs.google.com/spreadsheets/d/1SX6NBoVAgQJ6U1MVXOaj8PK2l7WJ3RER9xtqwdhxkhw/edit?usp=sharing"",""สระบุรี!L298"")"),0.0)</f>
        <v>0</v>
      </c>
      <c r="M403" s="197"/>
      <c r="N403" s="203">
        <f>IFERROR(__xludf.DUMMYFUNCTION("IMPORTRANGE(""https://docs.google.com/spreadsheets/d/1SX6NBoVAgQJ6U1MVXOaj8PK2l7WJ3RER9xtqwdhxkhw/edit?usp=sharing"",""สระบุรี!M298"")"),0.0)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IFERROR(__xludf.DUMMYFUNCTION("IMPORTRANGE(""https://docs.google.com/spreadsheets/d/1SX6NBoVAgQJ6U1MVXOaj8PK2l7WJ3RER9xtqwdhxkhw/edit?usp=sharing"",""สระบุรี!L299"")"),101920.0)</f>
        <v>101920</v>
      </c>
      <c r="M404" s="198"/>
      <c r="N404" s="203">
        <f>IFERROR(__xludf.DUMMYFUNCTION("IMPORTRANGE(""https://docs.google.com/spreadsheets/d/1SX6NBoVAgQJ6U1MVXOaj8PK2l7WJ3RER9xtqwdhxkhw/edit?usp=sharing"",""สระบุรี!M299"")"),0.0)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IFERROR(__xludf.DUMMYFUNCTION("IMPORTRANGE(""https://docs.google.com/spreadsheets/d/1SX6NBoVAgQJ6U1MVXOaj8PK2l7WJ3RER9xtqwdhxkhw/edit?usp=sharing"",""สระบุรี!L300"")"),0.0)</f>
        <v>0</v>
      </c>
      <c r="M405" s="203"/>
      <c r="N405" s="203">
        <f>IFERROR(__xludf.DUMMYFUNCTION("IMPORTRANGE(""https://docs.google.com/spreadsheets/d/1SX6NBoVAgQJ6U1MVXOaj8PK2l7WJ3RER9xtqwdhxkhw/edit?usp=sharing"",""สระบุรี!M300"")"),0.0)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IFERROR(__xludf.DUMMYFUNCTION("IMPORTRANGE(""https://docs.google.com/spreadsheets/d/1SX6NBoVAgQJ6U1MVXOaj8PK2l7WJ3RER9xtqwdhxkhw/edit?usp=sharing"",""สระบุรี!L301"")"),101920.0)</f>
        <v>101920</v>
      </c>
      <c r="M406" s="203"/>
      <c r="N406" s="203">
        <f>IFERROR(__xludf.DUMMYFUNCTION("IMPORTRANGE(""https://docs.google.com/spreadsheets/d/1SX6NBoVAgQJ6U1MVXOaj8PK2l7WJ3RER9xtqwdhxkhw/edit?usp=sharing"",""สระบุรี!M301"")"),0.0)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IFERROR(__xludf.DUMMYFUNCTION("IMPORTRANGE(""https://docs.google.com/spreadsheets/d/1SX6NBoVAgQJ6U1MVXOaj8PK2l7WJ3RER9xtqwdhxkhw/edit?usp=sharing"",""สระบุรี!M302"")"),0.0)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IFERROR(__xludf.DUMMYFUNCTION("IMPORTRANGE(""https://docs.google.com/spreadsheets/d/1SX6NBoVAgQJ6U1MVXOaj8PK2l7WJ3RER9xtqwdhxkhw/edit?usp=sharing"",""สระบุรี!M303"")"),0.0)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IFERROR(__xludf.DUMMYFUNCTION("IMPORTRANGE(""https://docs.google.com/spreadsheets/d/1SX6NBoVAgQJ6U1MVXOaj8PK2l7WJ3RER9xtqwdhxkhw/edit?usp=sharing"",""สระบุรี!M304"")"),0.0)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IFERROR(__xludf.DUMMYFUNCTION("IMPORTRANGE(""https://docs.google.com/spreadsheets/d/1SX6NBoVAgQJ6U1MVXOaj8PK2l7WJ3RER9xtqwdhxkhw/edit?usp=sharing"",""สระบุรี!M305"")"),0.0)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IFERROR(__xludf.DUMMYFUNCTION("IMPORTRANGE(""https://docs.google.com/spreadsheets/d/1SX6NBoVAgQJ6U1MVXOaj8PK2l7WJ3RER9xtqwdhxkhw/edit?usp=sharing"",""สระบุรี!J307"")"),0.0)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IFERROR(__xludf.DUMMYFUNCTION("IMPORTRANGE(""https://docs.google.com/spreadsheets/d/1SX6NBoVAgQJ6U1MVXOaj8PK2l7WJ3RER9xtqwdhxkhw/edit?usp=sharing"",""สระบุรี!J308"")"),0.0)</f>
        <v>0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IFERROR(__xludf.DUMMYFUNCTION("IMPORTRANGE(""https://docs.google.com/spreadsheets/d/1SX6NBoVAgQJ6U1MVXOaj8PK2l7WJ3RER9xtqwdhxkhw/edit?usp=sharing"",""สระบุรี!J309"")"),0.0)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IFERROR(__xludf.DUMMYFUNCTION("IMPORTRANGE(""https://docs.google.com/spreadsheets/d/1SX6NBoVAgQJ6U1MVXOaj8PK2l7WJ3RER9xtqwdhxkhw/edit?usp=sharing"",""สระบุรี!J310"")"),0.0)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IFERROR(__xludf.DUMMYFUNCTION("IMPORTRANGE(""https://docs.google.com/spreadsheets/d/1SX6NBoVAgQJ6U1MVXOaj8PK2l7WJ3RER9xtqwdhxkhw/edit?usp=sharing"",""สระบุรี!I311"")"),30.0)</f>
        <v>30</v>
      </c>
      <c r="J416" s="235">
        <f>IFERROR(__xludf.DUMMYFUNCTION("IMPORTRANGE(""https://docs.google.com/spreadsheets/d/1SX6NBoVAgQJ6U1MVXOaj8PK2l7WJ3RER9xtqwdhxkhw/edit?usp=sharing"",""สระบุรี!J311"")"),0.0)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IFERROR(__xludf.DUMMYFUNCTION("IMPORTRANGE(""https://docs.google.com/spreadsheets/d/1SX6NBoVAgQJ6U1MVXOaj8PK2l7WJ3RER9xtqwdhxkhw/edit?usp=sharing"",""สระบุรี!I312"")"),0.0)</f>
        <v>0</v>
      </c>
      <c r="J417" s="425">
        <f>IFERROR(__xludf.DUMMYFUNCTION("IMPORTRANGE(""https://docs.google.com/spreadsheets/d/1SX6NBoVAgQJ6U1MVXOaj8PK2l7WJ3RER9xtqwdhxkhw/edit?usp=sharing"",""สระบุรี!J312"")"),0.0)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IFERROR(__xludf.DUMMYFUNCTION("IMPORTRANGE(""https://docs.google.com/spreadsheets/d/1SX6NBoVAgQJ6U1MVXOaj8PK2l7WJ3RER9xtqwdhxkhw/edit?usp=sharing"",""สระบุรี!I313"")"),0.0)</f>
        <v>0</v>
      </c>
      <c r="J418" s="426">
        <f>IFERROR(__xludf.DUMMYFUNCTION("IMPORTRANGE(""https://docs.google.com/spreadsheets/d/1SX6NBoVAgQJ6U1MVXOaj8PK2l7WJ3RER9xtqwdhxkhw/edit?usp=sharing"",""สระบุรี!J313"")"),0.0)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IFERROR(__xludf.DUMMYFUNCTION("IMPORTRANGE(""https://docs.google.com/spreadsheets/d/1SX6NBoVAgQJ6U1MVXOaj8PK2l7WJ3RER9xtqwdhxkhw/edit?usp=sharing"",""สระบุรี!I314"")"),0.0)</f>
        <v>0</v>
      </c>
      <c r="J419" s="427">
        <f>IFERROR(__xludf.DUMMYFUNCTION("IMPORTRANGE(""https://docs.google.com/spreadsheets/d/1SX6NBoVAgQJ6U1MVXOaj8PK2l7WJ3RER9xtqwdhxkhw/edit?usp=sharing"",""สระบุรี!J314"")"),0.0)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IFERROR(__xludf.DUMMYFUNCTION("IMPORTRANGE(""https://docs.google.com/spreadsheets/d/1SX6NBoVAgQJ6U1MVXOaj8PK2l7WJ3RER9xtqwdhxkhw/edit?usp=sharing"",""สระบุรี!I315"")"),0.0)</f>
        <v>0</v>
      </c>
      <c r="J420" s="427">
        <f>IFERROR(__xludf.DUMMYFUNCTION("IMPORTRANGE(""https://docs.google.com/spreadsheets/d/1SX6NBoVAgQJ6U1MVXOaj8PK2l7WJ3RER9xtqwdhxkhw/edit?usp=sharing"",""สระบุรี!J315"")"),0.0)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IFERROR(__xludf.DUMMYFUNCTION("IMPORTRANGE(""https://docs.google.com/spreadsheets/d/1SX6NBoVAgQJ6U1MVXOaj8PK2l7WJ3RER9xtqwdhxkhw/edit?usp=sharing"",""สระบุรี!I316"")"),20.0)</f>
        <v>20</v>
      </c>
      <c r="J421" s="425">
        <f>IFERROR(__xludf.DUMMYFUNCTION("IMPORTRANGE(""https://docs.google.com/spreadsheets/d/1SX6NBoVAgQJ6U1MVXOaj8PK2l7WJ3RER9xtqwdhxkhw/edit?usp=sharing"",""สระบุรี!J316"")"),0.0)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IFERROR(__xludf.DUMMYFUNCTION("IMPORTRANGE(""https://docs.google.com/spreadsheets/d/1SX6NBoVAgQJ6U1MVXOaj8PK2l7WJ3RER9xtqwdhxkhw/edit?usp=sharing"",""สระบุรี!I317"")"),60.0)</f>
        <v>60</v>
      </c>
      <c r="J422" s="426">
        <f>IFERROR(__xludf.DUMMYFUNCTION("IMPORTRANGE(""https://docs.google.com/spreadsheets/d/1SX6NBoVAgQJ6U1MVXOaj8PK2l7WJ3RER9xtqwdhxkhw/edit?usp=sharing"",""สระบุรี!J317"")"),0.0)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IFERROR(__xludf.DUMMYFUNCTION("IMPORTRANGE(""https://docs.google.com/spreadsheets/d/1SX6NBoVAgQJ6U1MVXOaj8PK2l7WJ3RER9xtqwdhxkhw/edit?usp=sharing"",""สระบุรี!I318"")"),20.0)</f>
        <v>20</v>
      </c>
      <c r="J423" s="427">
        <f>IFERROR(__xludf.DUMMYFUNCTION("IMPORTRANGE(""https://docs.google.com/spreadsheets/d/1SX6NBoVAgQJ6U1MVXOaj8PK2l7WJ3RER9xtqwdhxkhw/edit?usp=sharing"",""สระบุรี!J318"")"),0.0)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IFERROR(__xludf.DUMMYFUNCTION("IMPORTRANGE(""https://docs.google.com/spreadsheets/d/1SX6NBoVAgQJ6U1MVXOaj8PK2l7WJ3RER9xtqwdhxkhw/edit?usp=sharing"",""สระบุรี!I319"")"),20.0)</f>
        <v>20</v>
      </c>
      <c r="J424" s="427">
        <f>IFERROR(__xludf.DUMMYFUNCTION("IMPORTRANGE(""https://docs.google.com/spreadsheets/d/1SX6NBoVAgQJ6U1MVXOaj8PK2l7WJ3RER9xtqwdhxkhw/edit?usp=sharing"",""สระบุรี!J319"")"),0.0)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IFERROR(__xludf.DUMMYFUNCTION("IMPORTRANGE(""https://docs.google.com/spreadsheets/d/1SX6NBoVAgQJ6U1MVXOaj8PK2l7WJ3RER9xtqwdhxkhw/edit?usp=sharing"",""สระบุรี!I320"")"),20.0)</f>
        <v>20</v>
      </c>
      <c r="J425" s="427">
        <f>IFERROR(__xludf.DUMMYFUNCTION("IMPORTRANGE(""https://docs.google.com/spreadsheets/d/1SX6NBoVAgQJ6U1MVXOaj8PK2l7WJ3RER9xtqwdhxkhw/edit?usp=sharing"",""สระบุรี!J320"")"),0.0)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IFERROR(__xludf.DUMMYFUNCTION("IMPORTRANGE(""https://docs.google.com/spreadsheets/d/1SX6NBoVAgQJ6U1MVXOaj8PK2l7WJ3RER9xtqwdhxkhw/edit?usp=sharing"",""สระบุรี!I321"")"),10.0)</f>
        <v>10</v>
      </c>
      <c r="J426" s="425">
        <f>IFERROR(__xludf.DUMMYFUNCTION("IMPORTRANGE(""https://docs.google.com/spreadsheets/d/1SX6NBoVAgQJ6U1MVXOaj8PK2l7WJ3RER9xtqwdhxkhw/edit?usp=sharing"",""สระบุรี!J321"")"),0.0)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IFERROR(__xludf.DUMMYFUNCTION("IMPORTRANGE(""https://docs.google.com/spreadsheets/d/1SX6NBoVAgQJ6U1MVXOaj8PK2l7WJ3RER9xtqwdhxkhw/edit?usp=sharing"",""สระบุรี!I322"")"),30.0)</f>
        <v>30</v>
      </c>
      <c r="J427" s="426">
        <f>IFERROR(__xludf.DUMMYFUNCTION("IMPORTRANGE(""https://docs.google.com/spreadsheets/d/1SX6NBoVAgQJ6U1MVXOaj8PK2l7WJ3RER9xtqwdhxkhw/edit?usp=sharing"",""สระบุรี!J322"")"),0.0)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IFERROR(__xludf.DUMMYFUNCTION("IMPORTRANGE(""https://docs.google.com/spreadsheets/d/1SX6NBoVAgQJ6U1MVXOaj8PK2l7WJ3RER9xtqwdhxkhw/edit?usp=sharing"",""สระบุรี!I323"")"),10.0)</f>
        <v>10</v>
      </c>
      <c r="J428" s="427">
        <f>IFERROR(__xludf.DUMMYFUNCTION("IMPORTRANGE(""https://docs.google.com/spreadsheets/d/1SX6NBoVAgQJ6U1MVXOaj8PK2l7WJ3RER9xtqwdhxkhw/edit?usp=sharing"",""สระบุรี!J323"")"),0.0)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IFERROR(__xludf.DUMMYFUNCTION("IMPORTRANGE(""https://docs.google.com/spreadsheets/d/1SX6NBoVAgQJ6U1MVXOaj8PK2l7WJ3RER9xtqwdhxkhw/edit?usp=sharing"",""สระบุรี!I324"")"),10.0)</f>
        <v>10</v>
      </c>
      <c r="J429" s="427">
        <f>IFERROR(__xludf.DUMMYFUNCTION("IMPORTRANGE(""https://docs.google.com/spreadsheets/d/1SX6NBoVAgQJ6U1MVXOaj8PK2l7WJ3RER9xtqwdhxkhw/edit?usp=sharing"",""สระบุรี!J324"")"),0.0)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IFERROR(__xludf.DUMMYFUNCTION("IMPORTRANGE(""https://docs.google.com/spreadsheets/d/1SX6NBoVAgQJ6U1MVXOaj8PK2l7WJ3RER9xtqwdhxkhw/edit?usp=sharing"",""สระบุรี!I325"")"),20.0)</f>
        <v>20</v>
      </c>
      <c r="J430" s="425">
        <f>IFERROR(__xludf.DUMMYFUNCTION("IMPORTRANGE(""https://docs.google.com/spreadsheets/d/1SX6NBoVAgQJ6U1MVXOaj8PK2l7WJ3RER9xtqwdhxkhw/edit?usp=sharing"",""สระบุรี!J325"")"),0.0)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IFERROR(__xludf.DUMMYFUNCTION("IMPORTRANGE(""https://docs.google.com/spreadsheets/d/1SX6NBoVAgQJ6U1MVXOaj8PK2l7WJ3RER9xtqwdhxkhw/edit?usp=sharing"",""สระบุรี!I326"")"),0.0)</f>
        <v>0</v>
      </c>
      <c r="J431" s="427">
        <f>IFERROR(__xludf.DUMMYFUNCTION("IMPORTRANGE(""https://docs.google.com/spreadsheets/d/1SX6NBoVAgQJ6U1MVXOaj8PK2l7WJ3RER9xtqwdhxkhw/edit?usp=sharing"",""สระบุรี!J326"")"),0.0)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IFERROR(__xludf.DUMMYFUNCTION("IMPORTRANGE(""https://docs.google.com/spreadsheets/d/1SX6NBoVAgQJ6U1MVXOaj8PK2l7WJ3RER9xtqwdhxkhw/edit?usp=sharing"",""สระบุรี!I327"")"),20.0)</f>
        <v>20</v>
      </c>
      <c r="J432" s="427">
        <f>IFERROR(__xludf.DUMMYFUNCTION("IMPORTRANGE(""https://docs.google.com/spreadsheets/d/1SX6NBoVAgQJ6U1MVXOaj8PK2l7WJ3RER9xtqwdhxkhw/edit?usp=sharing"",""สระบุรี!J327"")"),0.0)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IFERROR(__xludf.DUMMYFUNCTION("IMPORTRANGE(""https://docs.google.com/spreadsheets/d/1SX6NBoVAgQJ6U1MVXOaj8PK2l7WJ3RER9xtqwdhxkhw/edit?usp=sharing"",""สระบุรี!J328"")"),0.0)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IFERROR(__xludf.DUMMYFUNCTION("IMPORTRANGE(""https://docs.google.com/spreadsheets/d/1SX6NBoVAgQJ6U1MVXOaj8PK2l7WJ3RER9xtqwdhxkhw/edit?usp=sharing"",""สระบุรี!J329"")"),0.0)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IFERROR(__xludf.DUMMYFUNCTION("IMPORTRANGE(""https://docs.google.com/spreadsheets/d/1SX6NBoVAgQJ6U1MVXOaj8PK2l7WJ3RER9xtqwdhxkhw/edit?usp=sharing"",""สระบุรี!I330"")"),15.0)</f>
        <v>15</v>
      </c>
      <c r="J435" s="443">
        <f>IFERROR(__xludf.DUMMYFUNCTION("IMPORTRANGE(""https://docs.google.com/spreadsheets/d/1SX6NBoVAgQJ6U1MVXOaj8PK2l7WJ3RER9xtqwdhxkhw/edit?usp=sharing"",""สระบุรี!J330"")"),0.0)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IFERROR(__xludf.DUMMYFUNCTION("IMPORTRANGE(""https://docs.google.com/spreadsheets/d/1SX6NBoVAgQJ6U1MVXOaj8PK2l7WJ3RER9xtqwdhxkhw/edit?usp=sharing"",""สระบุรี!L330"")"),83000.0)</f>
        <v>83000</v>
      </c>
      <c r="M435" s="445"/>
      <c r="N435" s="445">
        <f>IFERROR(__xludf.DUMMYFUNCTION("IMPORTRANGE(""https://docs.google.com/spreadsheets/d/1SX6NBoVAgQJ6U1MVXOaj8PK2l7WJ3RER9xtqwdhxkhw/edit?usp=sharing"",""สระบุรี!M330"")"),0.0)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IFERROR(__xludf.DUMMYFUNCTION("IMPORTRANGE(""https://docs.google.com/spreadsheets/d/1SX6NBoVAgQJ6U1MVXOaj8PK2l7WJ3RER9xtqwdhxkhw/edit?usp=sharing"",""สระบุรี!L331"")"),0.0)</f>
        <v>0</v>
      </c>
      <c r="M436" s="197"/>
      <c r="N436" s="203">
        <f>IFERROR(__xludf.DUMMYFUNCTION("IMPORTRANGE(""https://docs.google.com/spreadsheets/d/1SX6NBoVAgQJ6U1MVXOaj8PK2l7WJ3RER9xtqwdhxkhw/edit?usp=sharing"",""สระบุรี!M331"")"),0.0)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IFERROR(__xludf.DUMMYFUNCTION("IMPORTRANGE(""https://docs.google.com/spreadsheets/d/1SX6NBoVAgQJ6U1MVXOaj8PK2l7WJ3RER9xtqwdhxkhw/edit?usp=sharing"",""สระบุรี!L332"")"),83000.0)</f>
        <v>83000</v>
      </c>
      <c r="M437" s="198"/>
      <c r="N437" s="203">
        <f>IFERROR(__xludf.DUMMYFUNCTION("IMPORTRANGE(""https://docs.google.com/spreadsheets/d/1SX6NBoVAgQJ6U1MVXOaj8PK2l7WJ3RER9xtqwdhxkhw/edit?usp=sharing"",""สระบุรี!M332"")"),0.0)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IFERROR(__xludf.DUMMYFUNCTION("IMPORTRANGE(""https://docs.google.com/spreadsheets/d/1SX6NBoVAgQJ6U1MVXOaj8PK2l7WJ3RER9xtqwdhxkhw/edit?usp=sharing"",""สระบุรี!L333"")"),0.0)</f>
        <v>0</v>
      </c>
      <c r="M438" s="203"/>
      <c r="N438" s="203">
        <f>IFERROR(__xludf.DUMMYFUNCTION("IMPORTRANGE(""https://docs.google.com/spreadsheets/d/1SX6NBoVAgQJ6U1MVXOaj8PK2l7WJ3RER9xtqwdhxkhw/edit?usp=sharing"",""สระบุรี!M333"")"),0.0)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IFERROR(__xludf.DUMMYFUNCTION("IMPORTRANGE(""https://docs.google.com/spreadsheets/d/1SX6NBoVAgQJ6U1MVXOaj8PK2l7WJ3RER9xtqwdhxkhw/edit?usp=sharing"",""สระบุรี!L334"")"),83000.0)</f>
        <v>83000</v>
      </c>
      <c r="M439" s="203"/>
      <c r="N439" s="203">
        <f>IFERROR(__xludf.DUMMYFUNCTION("IMPORTRANGE(""https://docs.google.com/spreadsheets/d/1SX6NBoVAgQJ6U1MVXOaj8PK2l7WJ3RER9xtqwdhxkhw/edit?usp=sharing"",""สระบุรี!M334"")"),0.0)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IFERROR(__xludf.DUMMYFUNCTION("IMPORTRANGE(""https://docs.google.com/spreadsheets/d/1SX6NBoVAgQJ6U1MVXOaj8PK2l7WJ3RER9xtqwdhxkhw/edit?usp=sharing"",""สระบุรี!M335"")"),0.0)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IFERROR(__xludf.DUMMYFUNCTION("IMPORTRANGE(""https://docs.google.com/spreadsheets/d/1SX6NBoVAgQJ6U1MVXOaj8PK2l7WJ3RER9xtqwdhxkhw/edit?usp=sharing"",""สระบุรี!M336"")"),0.0)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IFERROR(__xludf.DUMMYFUNCTION("IMPORTRANGE(""https://docs.google.com/spreadsheets/d/1SX6NBoVAgQJ6U1MVXOaj8PK2l7WJ3RER9xtqwdhxkhw/edit?usp=sharing"",""สระบุรี!M337"")"),0.0)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IFERROR(__xludf.DUMMYFUNCTION("IMPORTRANGE(""https://docs.google.com/spreadsheets/d/1SX6NBoVAgQJ6U1MVXOaj8PK2l7WJ3RER9xtqwdhxkhw/edit?usp=sharing"",""สระบุรี!M338"")"),0.0)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IFERROR(__xludf.DUMMYFUNCTION("IMPORTRANGE(""https://docs.google.com/spreadsheets/d/1SX6NBoVAgQJ6U1MVXOaj8PK2l7WJ3RER9xtqwdhxkhw/edit?usp=sharing"",""สระบุรี!J340"")"),0.0)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IFERROR(__xludf.DUMMYFUNCTION("IMPORTRANGE(""https://docs.google.com/spreadsheets/d/1SX6NBoVAgQJ6U1MVXOaj8PK2l7WJ3RER9xtqwdhxkhw/edit?usp=sharing"",""สระบุรี!J341"")"),0.0)</f>
        <v>0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IFERROR(__xludf.DUMMYFUNCTION("IMPORTRANGE(""https://docs.google.com/spreadsheets/d/1SX6NBoVAgQJ6U1MVXOaj8PK2l7WJ3RER9xtqwdhxkhw/edit?usp=sharing"",""สระบุรี!J342"")"),0.0)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IFERROR(__xludf.DUMMYFUNCTION("IMPORTRANGE(""https://docs.google.com/spreadsheets/d/1SX6NBoVAgQJ6U1MVXOaj8PK2l7WJ3RER9xtqwdhxkhw/edit?usp=sharing"",""สระบุรี!J343"")"),0.0)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IFERROR(__xludf.DUMMYFUNCTION("IMPORTRANGE(""https://docs.google.com/spreadsheets/d/1SX6NBoVAgQJ6U1MVXOaj8PK2l7WJ3RER9xtqwdhxkhw/edit?usp=sharing"",""สระบุรี!I344"")"),15.0)</f>
        <v>15</v>
      </c>
      <c r="J449" s="235">
        <f>IFERROR(__xludf.DUMMYFUNCTION("IMPORTRANGE(""https://docs.google.com/spreadsheets/d/1SX6NBoVAgQJ6U1MVXOaj8PK2l7WJ3RER9xtqwdhxkhw/edit?usp=sharing"",""สระบุรี!J344"")"),0.0)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IFERROR(__xludf.DUMMYFUNCTION("IMPORTRANGE(""https://docs.google.com/spreadsheets/d/1SX6NBoVAgQJ6U1MVXOaj8PK2l7WJ3RER9xtqwdhxkhw/edit?usp=sharing"",""สระบุรี!I345"")"),15.0)</f>
        <v>15</v>
      </c>
      <c r="J450" s="223">
        <f>IFERROR(__xludf.DUMMYFUNCTION("IMPORTRANGE(""https://docs.google.com/spreadsheets/d/1SX6NBoVAgQJ6U1MVXOaj8PK2l7WJ3RER9xtqwdhxkhw/edit?usp=sharing"",""สระบุรี!J345"")"),0.0)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IFERROR(__xludf.DUMMYFUNCTION("IMPORTRANGE(""https://docs.google.com/spreadsheets/d/1SX6NBoVAgQJ6U1MVXOaj8PK2l7WJ3RER9xtqwdhxkhw/edit?usp=sharing"",""สระบุรี!I346"")"),0.0)</f>
        <v>0</v>
      </c>
      <c r="J451" s="222">
        <f>IFERROR(__xludf.DUMMYFUNCTION("IMPORTRANGE(""https://docs.google.com/spreadsheets/d/1SX6NBoVAgQJ6U1MVXOaj8PK2l7WJ3RER9xtqwdhxkhw/edit?usp=sharing"",""สระบุรี!J346"")"),0.0)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IFERROR(__xludf.DUMMYFUNCTION("IMPORTRANGE(""https://docs.google.com/spreadsheets/d/1SX6NBoVAgQJ6U1MVXOaj8PK2l7WJ3RER9xtqwdhxkhw/edit?usp=sharing"",""สระบุรี!I347"")"),0.0)</f>
        <v>0</v>
      </c>
      <c r="J452" s="222">
        <f>IFERROR(__xludf.DUMMYFUNCTION("IMPORTRANGE(""https://docs.google.com/spreadsheets/d/1SX6NBoVAgQJ6U1MVXOaj8PK2l7WJ3RER9xtqwdhxkhw/edit?usp=sharing"",""สระบุรี!J347"")"),0.0)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IFERROR(__xludf.DUMMYFUNCTION("IMPORTRANGE(""https://docs.google.com/spreadsheets/d/1SX6NBoVAgQJ6U1MVXOaj8PK2l7WJ3RER9xtqwdhxkhw/edit?usp=sharing"",""สระบุรี!J348"")"),0.0)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IFERROR(__xludf.DUMMYFUNCTION("IMPORTRANGE(""https://docs.google.com/spreadsheets/d/1SX6NBoVAgQJ6U1MVXOaj8PK2l7WJ3RER9xtqwdhxkhw/edit?usp=sharing"",""สระบุรี!J349"")"),0.0)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IFERROR(__xludf.DUMMYFUNCTION("IMPORTRANGE(""https://docs.google.com/spreadsheets/d/1SX6NBoVAgQJ6U1MVXOaj8PK2l7WJ3RER9xtqwdhxkhw/edit?usp=sharing"",""สระบุรี!I350"")"),4739.0)</f>
        <v>4739</v>
      </c>
      <c r="J455" s="404">
        <f>IFERROR(__xludf.DUMMYFUNCTION("IMPORTRANGE(""https://docs.google.com/spreadsheets/d/1SX6NBoVAgQJ6U1MVXOaj8PK2l7WJ3RER9xtqwdhxkhw/edit?usp=sharing"",""สระบุรี!J350"")"),0.0)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IFERROR(__xludf.DUMMYFUNCTION("IMPORTRANGE(""https://docs.google.com/spreadsheets/d/1SX6NBoVAgQJ6U1MVXOaj8PK2l7WJ3RER9xtqwdhxkhw/edit?usp=sharing"",""สระบุรี!L350"")"),285044.0)</f>
        <v>285044</v>
      </c>
      <c r="M455" s="406"/>
      <c r="N455" s="406">
        <f>IFERROR(__xludf.DUMMYFUNCTION("IMPORTRANGE(""https://docs.google.com/spreadsheets/d/1SX6NBoVAgQJ6U1MVXOaj8PK2l7WJ3RER9xtqwdhxkhw/edit?usp=sharing"",""สระบุรี!M350"")"),0.0)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IFERROR(__xludf.DUMMYFUNCTION("IMPORTRANGE(""https://docs.google.com/spreadsheets/d/1SX6NBoVAgQJ6U1MVXOaj8PK2l7WJ3RER9xtqwdhxkhw/edit?usp=sharing"",""สระบุรี!L351"")"),0.0)</f>
        <v>0</v>
      </c>
      <c r="M456" s="197"/>
      <c r="N456" s="203">
        <f>IFERROR(__xludf.DUMMYFUNCTION("IMPORTRANGE(""https://docs.google.com/spreadsheets/d/1SX6NBoVAgQJ6U1MVXOaj8PK2l7WJ3RER9xtqwdhxkhw/edit?usp=sharing"",""สระบุรี!M351"")"),0.0)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IFERROR(__xludf.DUMMYFUNCTION("IMPORTRANGE(""https://docs.google.com/spreadsheets/d/1SX6NBoVAgQJ6U1MVXOaj8PK2l7WJ3RER9xtqwdhxkhw/edit?usp=sharing"",""สระบุรี!L352"")"),285044.0)</f>
        <v>285044</v>
      </c>
      <c r="M457" s="198"/>
      <c r="N457" s="203">
        <f>IFERROR(__xludf.DUMMYFUNCTION("IMPORTRANGE(""https://docs.google.com/spreadsheets/d/1SX6NBoVAgQJ6U1MVXOaj8PK2l7WJ3RER9xtqwdhxkhw/edit?usp=sharing"",""สระบุรี!M352"")"),0.0)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IFERROR(__xludf.DUMMYFUNCTION("IMPORTRANGE(""https://docs.google.com/spreadsheets/d/1SX6NBoVAgQJ6U1MVXOaj8PK2l7WJ3RER9xtqwdhxkhw/edit?usp=sharing"",""สระบุรี!L353"")"),0.0)</f>
        <v>0</v>
      </c>
      <c r="M458" s="203"/>
      <c r="N458" s="203">
        <f>IFERROR(__xludf.DUMMYFUNCTION("IMPORTRANGE(""https://docs.google.com/spreadsheets/d/1SX6NBoVAgQJ6U1MVXOaj8PK2l7WJ3RER9xtqwdhxkhw/edit?usp=sharing"",""สระบุรี!M353"")"),0.0)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IFERROR(__xludf.DUMMYFUNCTION("IMPORTRANGE(""https://docs.google.com/spreadsheets/d/1SX6NBoVAgQJ6U1MVXOaj8PK2l7WJ3RER9xtqwdhxkhw/edit?usp=sharing"",""สระบุรี!L354"")"),285044.0)</f>
        <v>285044</v>
      </c>
      <c r="M459" s="203"/>
      <c r="N459" s="203">
        <f>IFERROR(__xludf.DUMMYFUNCTION("IMPORTRANGE(""https://docs.google.com/spreadsheets/d/1SX6NBoVAgQJ6U1MVXOaj8PK2l7WJ3RER9xtqwdhxkhw/edit?usp=sharing"",""สระบุรี!M354"")"),0.0)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IFERROR(__xludf.DUMMYFUNCTION("IMPORTRANGE(""https://docs.google.com/spreadsheets/d/1SX6NBoVAgQJ6U1MVXOaj8PK2l7WJ3RER9xtqwdhxkhw/edit?usp=sharing"",""สระบุรี!M355"")"),0.0)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IFERROR(__xludf.DUMMYFUNCTION("IMPORTRANGE(""https://docs.google.com/spreadsheets/d/1SX6NBoVAgQJ6U1MVXOaj8PK2l7WJ3RER9xtqwdhxkhw/edit?usp=sharing"",""สระบุรี!M356"")"),0.0)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IFERROR(__xludf.DUMMYFUNCTION("IMPORTRANGE(""https://docs.google.com/spreadsheets/d/1SX6NBoVAgQJ6U1MVXOaj8PK2l7WJ3RER9xtqwdhxkhw/edit?usp=sharing"",""สระบุรี!M357"")"),0.0)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IFERROR(__xludf.DUMMYFUNCTION("IMPORTRANGE(""https://docs.google.com/spreadsheets/d/1SX6NBoVAgQJ6U1MVXOaj8PK2l7WJ3RER9xtqwdhxkhw/edit?usp=sharing"",""สระบุรี!M358"")"),0.0)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IFERROR(__xludf.DUMMYFUNCTION("IMPORTRANGE(""https://docs.google.com/spreadsheets/d/1SX6NBoVAgQJ6U1MVXOaj8PK2l7WJ3RER9xtqwdhxkhw/edit?usp=sharing"",""สระบุรี!I359"")"),4739.0)</f>
        <v>4739</v>
      </c>
      <c r="J464" s="301">
        <f>IFERROR(__xludf.DUMMYFUNCTION("IMPORTRANGE(""https://docs.google.com/spreadsheets/d/1SX6NBoVAgQJ6U1MVXOaj8PK2l7WJ3RER9xtqwdhxkhw/edit?usp=sharing"",""สระบุรี!J359"")"),0.0)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IFERROR(__xludf.DUMMYFUNCTION("IMPORTRANGE(""https://docs.google.com/spreadsheets/d/1SX6NBoVAgQJ6U1MVXOaj8PK2l7WJ3RER9xtqwdhxkhw/edit?usp=sharing"",""สระบุรี!I360"")"),4739.0)</f>
        <v>4739</v>
      </c>
      <c r="J465" s="453">
        <f>IFERROR(__xludf.DUMMYFUNCTION("IMPORTRANGE(""https://docs.google.com/spreadsheets/d/1SX6NBoVAgQJ6U1MVXOaj8PK2l7WJ3RER9xtqwdhxkhw/edit?usp=sharing"",""สระบุรี!J360"")"),0.0)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IFERROR(__xludf.DUMMYFUNCTION("IMPORTRANGE(""https://docs.google.com/spreadsheets/d/1SX6NBoVAgQJ6U1MVXOaj8PK2l7WJ3RER9xtqwdhxkhw/edit?usp=sharing"",""สระบุรี!I361"")"),856.0)</f>
        <v>856</v>
      </c>
      <c r="J466" s="453">
        <f>IFERROR(__xludf.DUMMYFUNCTION("IMPORTRANGE(""https://docs.google.com/spreadsheets/d/1SX6NBoVAgQJ6U1MVXOaj8PK2l7WJ3RER9xtqwdhxkhw/edit?usp=sharing"",""สระบุรี!J361"")"),0.0)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IFERROR(__xludf.DUMMYFUNCTION("IMPORTRANGE(""https://docs.google.com/spreadsheets/d/1SX6NBoVAgQJ6U1MVXOaj8PK2l7WJ3RER9xtqwdhxkhw/edit?usp=sharing"",""สระบุรี!I362"")"),0.0)</f>
        <v>0</v>
      </c>
      <c r="J467" s="223">
        <f>IFERROR(__xludf.DUMMYFUNCTION("IMPORTRANGE(""https://docs.google.com/spreadsheets/d/1SX6NBoVAgQJ6U1MVXOaj8PK2l7WJ3RER9xtqwdhxkhw/edit?usp=sharing"",""สระบุรี!J362"")"),0.0)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IFERROR(__xludf.DUMMYFUNCTION("IMPORTRANGE(""https://docs.google.com/spreadsheets/d/1SX6NBoVAgQJ6U1MVXOaj8PK2l7WJ3RER9xtqwdhxkhw/edit?usp=sharing"",""สระบุรี!I363"")"),0.0)</f>
        <v>0</v>
      </c>
      <c r="J468" s="223">
        <f>IFERROR(__xludf.DUMMYFUNCTION("IMPORTRANGE(""https://docs.google.com/spreadsheets/d/1SX6NBoVAgQJ6U1MVXOaj8PK2l7WJ3RER9xtqwdhxkhw/edit?usp=sharing"",""สระบุรี!J363"")"),0.0)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IFERROR(__xludf.DUMMYFUNCTION("IMPORTRANGE(""https://docs.google.com/spreadsheets/d/1SX6NBoVAgQJ6U1MVXOaj8PK2l7WJ3RER9xtqwdhxkhw/edit?usp=sharing"",""สระบุรี!I364"")"),0.0)</f>
        <v>0</v>
      </c>
      <c r="J469" s="223">
        <f>IFERROR(__xludf.DUMMYFUNCTION("IMPORTRANGE(""https://docs.google.com/spreadsheets/d/1SX6NBoVAgQJ6U1MVXOaj8PK2l7WJ3RER9xtqwdhxkhw/edit?usp=sharing"",""สระบุรี!J364"")"),0.0)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IFERROR(__xludf.DUMMYFUNCTION("IMPORTRANGE(""https://docs.google.com/spreadsheets/d/1SX6NBoVAgQJ6U1MVXOaj8PK2l7WJ3RER9xtqwdhxkhw/edit?usp=sharing"",""สระบุรี!I365"")"),0.0)</f>
        <v>0</v>
      </c>
      <c r="J470" s="223">
        <f>IFERROR(__xludf.DUMMYFUNCTION("IMPORTRANGE(""https://docs.google.com/spreadsheets/d/1SX6NBoVAgQJ6U1MVXOaj8PK2l7WJ3RER9xtqwdhxkhw/edit?usp=sharing"",""สระบุรี!J365"")"),0.0)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IFERROR(__xludf.DUMMYFUNCTION("IMPORTRANGE(""https://docs.google.com/spreadsheets/d/1SX6NBoVAgQJ6U1MVXOaj8PK2l7WJ3RER9xtqwdhxkhw/edit?usp=sharing"",""สระบุรี!I366"")"),0.0)</f>
        <v>0</v>
      </c>
      <c r="J471" s="223">
        <f>IFERROR(__xludf.DUMMYFUNCTION("IMPORTRANGE(""https://docs.google.com/spreadsheets/d/1SX6NBoVAgQJ6U1MVXOaj8PK2l7WJ3RER9xtqwdhxkhw/edit?usp=sharing"",""สระบุรี!J366"")"),0.0)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IFERROR(__xludf.DUMMYFUNCTION("IMPORTRANGE(""https://docs.google.com/spreadsheets/d/1SX6NBoVAgQJ6U1MVXOaj8PK2l7WJ3RER9xtqwdhxkhw/edit?usp=sharing"",""สระบุรี!I367"")"),0.0)</f>
        <v>0</v>
      </c>
      <c r="J472" s="223">
        <f>IFERROR(__xludf.DUMMYFUNCTION("IMPORTRANGE(""https://docs.google.com/spreadsheets/d/1SX6NBoVAgQJ6U1MVXOaj8PK2l7WJ3RER9xtqwdhxkhw/edit?usp=sharing"",""สระบุรี!J367"")"),0.0)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IFERROR(__xludf.DUMMYFUNCTION("IMPORTRANGE(""https://docs.google.com/spreadsheets/d/1SX6NBoVAgQJ6U1MVXOaj8PK2l7WJ3RER9xtqwdhxkhw/edit?usp=sharing"",""สระบุรี!I368"")"),4739.0)</f>
        <v>4739</v>
      </c>
      <c r="J473" s="453">
        <f>IFERROR(__xludf.DUMMYFUNCTION("IMPORTRANGE(""https://docs.google.com/spreadsheets/d/1SX6NBoVAgQJ6U1MVXOaj8PK2l7WJ3RER9xtqwdhxkhw/edit?usp=sharing"",""สระบุรี!J368"")"),0.0)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IFERROR(__xludf.DUMMYFUNCTION("IMPORTRANGE(""https://docs.google.com/spreadsheets/d/1SX6NBoVAgQJ6U1MVXOaj8PK2l7WJ3RER9xtqwdhxkhw/edit?usp=sharing"",""สระบุรี!I369"")"),856.0)</f>
        <v>856</v>
      </c>
      <c r="J474" s="453">
        <f>IFERROR(__xludf.DUMMYFUNCTION("IMPORTRANGE(""https://docs.google.com/spreadsheets/d/1SX6NBoVAgQJ6U1MVXOaj8PK2l7WJ3RER9xtqwdhxkhw/edit?usp=sharing"",""สระบุรี!J369"")"),0.0)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IFERROR(__xludf.DUMMYFUNCTION("IMPORTRANGE(""https://docs.google.com/spreadsheets/d/1SX6NBoVAgQJ6U1MVXOaj8PK2l7WJ3RER9xtqwdhxkhw/edit?usp=sharing"",""สระบุรี!I370"")"),0.0)</f>
        <v>0</v>
      </c>
      <c r="J475" s="223">
        <f>IFERROR(__xludf.DUMMYFUNCTION("IMPORTRANGE(""https://docs.google.com/spreadsheets/d/1SX6NBoVAgQJ6U1MVXOaj8PK2l7WJ3RER9xtqwdhxkhw/edit?usp=sharing"",""สระบุรี!J370"")"),0.0)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IFERROR(__xludf.DUMMYFUNCTION("IMPORTRANGE(""https://docs.google.com/spreadsheets/d/1SX6NBoVAgQJ6U1MVXOaj8PK2l7WJ3RER9xtqwdhxkhw/edit?usp=sharing"",""สระบุรี!I371"")"),0.0)</f>
        <v>0</v>
      </c>
      <c r="J476" s="223">
        <f>IFERROR(__xludf.DUMMYFUNCTION("IMPORTRANGE(""https://docs.google.com/spreadsheets/d/1SX6NBoVAgQJ6U1MVXOaj8PK2l7WJ3RER9xtqwdhxkhw/edit?usp=sharing"",""สระบุรี!J371"")"),0.0)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IFERROR(__xludf.DUMMYFUNCTION("IMPORTRANGE(""https://docs.google.com/spreadsheets/d/1SX6NBoVAgQJ6U1MVXOaj8PK2l7WJ3RER9xtqwdhxkhw/edit?usp=sharing"",""สระบุรี!I372"")"),0.0)</f>
        <v>0</v>
      </c>
      <c r="J477" s="223">
        <f>IFERROR(__xludf.DUMMYFUNCTION("IMPORTRANGE(""https://docs.google.com/spreadsheets/d/1SX6NBoVAgQJ6U1MVXOaj8PK2l7WJ3RER9xtqwdhxkhw/edit?usp=sharing"",""สระบุรี!J372"")"),0.0)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IFERROR(__xludf.DUMMYFUNCTION("IMPORTRANGE(""https://docs.google.com/spreadsheets/d/1SX6NBoVAgQJ6U1MVXOaj8PK2l7WJ3RER9xtqwdhxkhw/edit?usp=sharing"",""สระบุรี!I373"")"),0.0)</f>
        <v>0</v>
      </c>
      <c r="J478" s="223">
        <f>IFERROR(__xludf.DUMMYFUNCTION("IMPORTRANGE(""https://docs.google.com/spreadsheets/d/1SX6NBoVAgQJ6U1MVXOaj8PK2l7WJ3RER9xtqwdhxkhw/edit?usp=sharing"",""สระบุรี!J373"")"),0.0)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IFERROR(__xludf.DUMMYFUNCTION("IMPORTRANGE(""https://docs.google.com/spreadsheets/d/1SX6NBoVAgQJ6U1MVXOaj8PK2l7WJ3RER9xtqwdhxkhw/edit?usp=sharing"",""สระบุรี!I374"")"),0.0)</f>
        <v>0</v>
      </c>
      <c r="J479" s="223">
        <f>IFERROR(__xludf.DUMMYFUNCTION("IMPORTRANGE(""https://docs.google.com/spreadsheets/d/1SX6NBoVAgQJ6U1MVXOaj8PK2l7WJ3RER9xtqwdhxkhw/edit?usp=sharing"",""สระบุรี!J374"")"),0.0)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IFERROR(__xludf.DUMMYFUNCTION("IMPORTRANGE(""https://docs.google.com/spreadsheets/d/1SX6NBoVAgQJ6U1MVXOaj8PK2l7WJ3RER9xtqwdhxkhw/edit?usp=sharing"",""สระบุรี!I375"")"),0.0)</f>
        <v>0</v>
      </c>
      <c r="J480" s="223">
        <f>IFERROR(__xludf.DUMMYFUNCTION("IMPORTRANGE(""https://docs.google.com/spreadsheets/d/1SX6NBoVAgQJ6U1MVXOaj8PK2l7WJ3RER9xtqwdhxkhw/edit?usp=sharing"",""สระบุรี!J375"")"),0.0)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IFERROR(__xludf.DUMMYFUNCTION("IMPORTRANGE(""https://docs.google.com/spreadsheets/d/1SX6NBoVAgQJ6U1MVXOaj8PK2l7WJ3RER9xtqwdhxkhw/edit?usp=sharing"",""สระบุรี!I376"")"),4739.0)</f>
        <v>4739</v>
      </c>
      <c r="J481" s="453">
        <f>IFERROR(__xludf.DUMMYFUNCTION("IMPORTRANGE(""https://docs.google.com/spreadsheets/d/1SX6NBoVAgQJ6U1MVXOaj8PK2l7WJ3RER9xtqwdhxkhw/edit?usp=sharing"",""สระบุรี!J376"")"),0.0)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IFERROR(__xludf.DUMMYFUNCTION("IMPORTRANGE(""https://docs.google.com/spreadsheets/d/1SX6NBoVAgQJ6U1MVXOaj8PK2l7WJ3RER9xtqwdhxkhw/edit?usp=sharing"",""สระบุรี!I377"")"),856.0)</f>
        <v>856</v>
      </c>
      <c r="J482" s="453">
        <f>IFERROR(__xludf.DUMMYFUNCTION("IMPORTRANGE(""https://docs.google.com/spreadsheets/d/1SX6NBoVAgQJ6U1MVXOaj8PK2l7WJ3RER9xtqwdhxkhw/edit?usp=sharing"",""สระบุรี!J377"")"),0.0)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IFERROR(__xludf.DUMMYFUNCTION("IMPORTRANGE(""https://docs.google.com/spreadsheets/d/1SX6NBoVAgQJ6U1MVXOaj8PK2l7WJ3RER9xtqwdhxkhw/edit?usp=sharing"",""สระบุรี!I378"")"),0.0)</f>
        <v>0</v>
      </c>
      <c r="J483" s="223">
        <f>IFERROR(__xludf.DUMMYFUNCTION("IMPORTRANGE(""https://docs.google.com/spreadsheets/d/1SX6NBoVAgQJ6U1MVXOaj8PK2l7WJ3RER9xtqwdhxkhw/edit?usp=sharing"",""สระบุรี!J378"")"),0.0)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IFERROR(__xludf.DUMMYFUNCTION("IMPORTRANGE(""https://docs.google.com/spreadsheets/d/1SX6NBoVAgQJ6U1MVXOaj8PK2l7WJ3RER9xtqwdhxkhw/edit?usp=sharing"",""สระบุรี!I379"")"),0.0)</f>
        <v>0</v>
      </c>
      <c r="J484" s="223">
        <f>IFERROR(__xludf.DUMMYFUNCTION("IMPORTRANGE(""https://docs.google.com/spreadsheets/d/1SX6NBoVAgQJ6U1MVXOaj8PK2l7WJ3RER9xtqwdhxkhw/edit?usp=sharing"",""สระบุรี!J379"")"),0.0)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IFERROR(__xludf.DUMMYFUNCTION("IMPORTRANGE(""https://docs.google.com/spreadsheets/d/1SX6NBoVAgQJ6U1MVXOaj8PK2l7WJ3RER9xtqwdhxkhw/edit?usp=sharing"",""สระบุรี!I380"")"),0.0)</f>
        <v>0</v>
      </c>
      <c r="J485" s="223">
        <f>IFERROR(__xludf.DUMMYFUNCTION("IMPORTRANGE(""https://docs.google.com/spreadsheets/d/1SX6NBoVAgQJ6U1MVXOaj8PK2l7WJ3RER9xtqwdhxkhw/edit?usp=sharing"",""สระบุรี!J380"")"),0.0)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IFERROR(__xludf.DUMMYFUNCTION("IMPORTRANGE(""https://docs.google.com/spreadsheets/d/1SX6NBoVAgQJ6U1MVXOaj8PK2l7WJ3RER9xtqwdhxkhw/edit?usp=sharing"",""สระบุรี!I381"")"),0.0)</f>
        <v>0</v>
      </c>
      <c r="J486" s="223">
        <f>IFERROR(__xludf.DUMMYFUNCTION("IMPORTRANGE(""https://docs.google.com/spreadsheets/d/1SX6NBoVAgQJ6U1MVXOaj8PK2l7WJ3RER9xtqwdhxkhw/edit?usp=sharing"",""สระบุรี!J381"")"),0.0)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IFERROR(__xludf.DUMMYFUNCTION("IMPORTRANGE(""https://docs.google.com/spreadsheets/d/1SX6NBoVAgQJ6U1MVXOaj8PK2l7WJ3RER9xtqwdhxkhw/edit?usp=sharing"",""สระบุรี!I382"")"),0.0)</f>
        <v>0</v>
      </c>
      <c r="J487" s="453">
        <f>IFERROR(__xludf.DUMMYFUNCTION("IMPORTRANGE(""https://docs.google.com/spreadsheets/d/1SX6NBoVAgQJ6U1MVXOaj8PK2l7WJ3RER9xtqwdhxkhw/edit?usp=sharing"",""สระบุรี!J382"")"),0.0)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IFERROR(__xludf.DUMMYFUNCTION("IMPORTRANGE(""https://docs.google.com/spreadsheets/d/1SX6NBoVAgQJ6U1MVXOaj8PK2l7WJ3RER9xtqwdhxkhw/edit?usp=sharing"",""สระบุรี!I383"")"),0.0)</f>
        <v>0</v>
      </c>
      <c r="J488" s="453">
        <f>IFERROR(__xludf.DUMMYFUNCTION("IMPORTRANGE(""https://docs.google.com/spreadsheets/d/1SX6NBoVAgQJ6U1MVXOaj8PK2l7WJ3RER9xtqwdhxkhw/edit?usp=sharing"",""สระบุรี!J383"")"),0.0)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IFERROR(__xludf.DUMMYFUNCTION("IMPORTRANGE(""https://docs.google.com/spreadsheets/d/1SX6NBoVAgQJ6U1MVXOaj8PK2l7WJ3RER9xtqwdhxkhw/edit?usp=sharing"",""สระบุรี!I384"")"),0.0)</f>
        <v>0</v>
      </c>
      <c r="J489" s="223">
        <f>IFERROR(__xludf.DUMMYFUNCTION("IMPORTRANGE(""https://docs.google.com/spreadsheets/d/1SX6NBoVAgQJ6U1MVXOaj8PK2l7WJ3RER9xtqwdhxkhw/edit?usp=sharing"",""สระบุรี!J384"")"),0.0)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IFERROR(__xludf.DUMMYFUNCTION("IMPORTRANGE(""https://docs.google.com/spreadsheets/d/1SX6NBoVAgQJ6U1MVXOaj8PK2l7WJ3RER9xtqwdhxkhw/edit?usp=sharing"",""สระบุรี!I385"")"),0.0)</f>
        <v>0</v>
      </c>
      <c r="J490" s="223">
        <f>IFERROR(__xludf.DUMMYFUNCTION("IMPORTRANGE(""https://docs.google.com/spreadsheets/d/1SX6NBoVAgQJ6U1MVXOaj8PK2l7WJ3RER9xtqwdhxkhw/edit?usp=sharing"",""สระบุรี!J385"")"),0.0)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IFERROR(__xludf.DUMMYFUNCTION("IMPORTRANGE(""https://docs.google.com/spreadsheets/d/1SX6NBoVAgQJ6U1MVXOaj8PK2l7WJ3RER9xtqwdhxkhw/edit?usp=sharing"",""สระบุรี!I386"")"),0.0)</f>
        <v>0</v>
      </c>
      <c r="J491" s="223">
        <f>IFERROR(__xludf.DUMMYFUNCTION("IMPORTRANGE(""https://docs.google.com/spreadsheets/d/1SX6NBoVAgQJ6U1MVXOaj8PK2l7WJ3RER9xtqwdhxkhw/edit?usp=sharing"",""สระบุรี!J386"")"),0.0)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IFERROR(__xludf.DUMMYFUNCTION("IMPORTRANGE(""https://docs.google.com/spreadsheets/d/1SX6NBoVAgQJ6U1MVXOaj8PK2l7WJ3RER9xtqwdhxkhw/edit?usp=sharing"",""สระบุรี!I387"")"),0.0)</f>
        <v>0</v>
      </c>
      <c r="J492" s="223">
        <f>IFERROR(__xludf.DUMMYFUNCTION("IMPORTRANGE(""https://docs.google.com/spreadsheets/d/1SX6NBoVAgQJ6U1MVXOaj8PK2l7WJ3RER9xtqwdhxkhw/edit?usp=sharing"",""สระบุรี!J387"")"),0.0)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IFERROR(__xludf.DUMMYFUNCTION("IMPORTRANGE(""https://docs.google.com/spreadsheets/d/1SX6NBoVAgQJ6U1MVXOaj8PK2l7WJ3RER9xtqwdhxkhw/edit?usp=sharing"",""สระบุรี!I388"")"),0.0)</f>
        <v>0</v>
      </c>
      <c r="J493" s="223">
        <f>IFERROR(__xludf.DUMMYFUNCTION("IMPORTRANGE(""https://docs.google.com/spreadsheets/d/1SX6NBoVAgQJ6U1MVXOaj8PK2l7WJ3RER9xtqwdhxkhw/edit?usp=sharing"",""สระบุรี!J388"")"),0.0)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IFERROR(__xludf.DUMMYFUNCTION("IMPORTRANGE(""https://docs.google.com/spreadsheets/d/1SX6NBoVAgQJ6U1MVXOaj8PK2l7WJ3RER9xtqwdhxkhw/edit?usp=sharing"",""สระบุรี!I389"")"),0.0)</f>
        <v>0</v>
      </c>
      <c r="J494" s="469">
        <f>IFERROR(__xludf.DUMMYFUNCTION("IMPORTRANGE(""https://docs.google.com/spreadsheets/d/1SX6NBoVAgQJ6U1MVXOaj8PK2l7WJ3RER9xtqwdhxkhw/edit?usp=sharing"",""สระบุรี!J389"")"),0.0)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IFERROR(__xludf.DUMMYFUNCTION("IMPORTRANGE(""https://docs.google.com/spreadsheets/d/1SX6NBoVAgQJ6U1MVXOaj8PK2l7WJ3RER9xtqwdhxkhw/edit?usp=sharing"",""สระบุรี!I390"")"),0.0)</f>
        <v>0</v>
      </c>
      <c r="J495" s="469">
        <f>IFERROR(__xludf.DUMMYFUNCTION("IMPORTRANGE(""https://docs.google.com/spreadsheets/d/1SX6NBoVAgQJ6U1MVXOaj8PK2l7WJ3RER9xtqwdhxkhw/edit?usp=sharing"",""สระบุรี!J390"")"),0.0)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IFERROR(__xludf.DUMMYFUNCTION("IMPORTRANGE(""https://docs.google.com/spreadsheets/d/1SX6NBoVAgQJ6U1MVXOaj8PK2l7WJ3RER9xtqwdhxkhw/edit?usp=sharing"",""สระบุรี!I391"")"),0.0)</f>
        <v>0</v>
      </c>
      <c r="J496" s="469">
        <f>IFERROR(__xludf.DUMMYFUNCTION("IMPORTRANGE(""https://docs.google.com/spreadsheets/d/1SX6NBoVAgQJ6U1MVXOaj8PK2l7WJ3RER9xtqwdhxkhw/edit?usp=sharing"",""สระบุรี!J391"")"),0.0)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IFERROR(__xludf.DUMMYFUNCTION("IMPORTRANGE(""https://docs.google.com/spreadsheets/d/1SX6NBoVAgQJ6U1MVXOaj8PK2l7WJ3RER9xtqwdhxkhw/edit?usp=sharing"",""สระบุรี!I392"")"),11142.0)</f>
        <v>11142</v>
      </c>
      <c r="J497" s="476">
        <f>IFERROR(__xludf.DUMMYFUNCTION("IMPORTRANGE(""https://docs.google.com/spreadsheets/d/1SX6NBoVAgQJ6U1MVXOaj8PK2l7WJ3RER9xtqwdhxkhw/edit?usp=sharing"",""สระบุรี!J392"")"),0.0)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IFERROR(__xludf.DUMMYFUNCTION("IMPORTRANGE(""https://docs.google.com/spreadsheets/d/1SX6NBoVAgQJ6U1MVXOaj8PK2l7WJ3RER9xtqwdhxkhw/edit?usp=sharing"",""สระบุรี!I393"")"),11142.0)</f>
        <v>11142</v>
      </c>
      <c r="J498" s="453">
        <f>IFERROR(__xludf.DUMMYFUNCTION("IMPORTRANGE(""https://docs.google.com/spreadsheets/d/1SX6NBoVAgQJ6U1MVXOaj8PK2l7WJ3RER9xtqwdhxkhw/edit?usp=sharing"",""สระบุรี!J393"")"),0.0)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IFERROR(__xludf.DUMMYFUNCTION("IMPORTRANGE(""https://docs.google.com/spreadsheets/d/1SX6NBoVAgQJ6U1MVXOaj8PK2l7WJ3RER9xtqwdhxkhw/edit?usp=sharing"",""สระบุรี!I394"")"),505.0)</f>
        <v>505</v>
      </c>
      <c r="J499" s="453">
        <f>IFERROR(__xludf.DUMMYFUNCTION("IMPORTRANGE(""https://docs.google.com/spreadsheets/d/1SX6NBoVAgQJ6U1MVXOaj8PK2l7WJ3RER9xtqwdhxkhw/edit?usp=sharing"",""สระบุรี!J394"")"),0.0)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IFERROR(__xludf.DUMMYFUNCTION("IMPORTRANGE(""https://docs.google.com/spreadsheets/d/1SX6NBoVAgQJ6U1MVXOaj8PK2l7WJ3RER9xtqwdhxkhw/edit?usp=sharing"",""สระบุรี!I395"")"),0.0)</f>
        <v>0</v>
      </c>
      <c r="J500" s="195">
        <f>IFERROR(__xludf.DUMMYFUNCTION("IMPORTRANGE(""https://docs.google.com/spreadsheets/d/1SX6NBoVAgQJ6U1MVXOaj8PK2l7WJ3RER9xtqwdhxkhw/edit?usp=sharing"",""สระบุรี!J395"")"),0.0)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IFERROR(__xludf.DUMMYFUNCTION("IMPORTRANGE(""https://docs.google.com/spreadsheets/d/1SX6NBoVAgQJ6U1MVXOaj8PK2l7WJ3RER9xtqwdhxkhw/edit?usp=sharing"",""สระบุรี!I396"")"),0.0)</f>
        <v>0</v>
      </c>
      <c r="J501" s="195">
        <f>IFERROR(__xludf.DUMMYFUNCTION("IMPORTRANGE(""https://docs.google.com/spreadsheets/d/1SX6NBoVAgQJ6U1MVXOaj8PK2l7WJ3RER9xtqwdhxkhw/edit?usp=sharing"",""สระบุรี!J396"")"),0.0)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IFERROR(__xludf.DUMMYFUNCTION("IMPORTRANGE(""https://docs.google.com/spreadsheets/d/1SX6NBoVAgQJ6U1MVXOaj8PK2l7WJ3RER9xtqwdhxkhw/edit?usp=sharing"",""สระบุรี!I397"")"),0.0)</f>
        <v>0</v>
      </c>
      <c r="J502" s="223">
        <f>IFERROR(__xludf.DUMMYFUNCTION("IMPORTRANGE(""https://docs.google.com/spreadsheets/d/1SX6NBoVAgQJ6U1MVXOaj8PK2l7WJ3RER9xtqwdhxkhw/edit?usp=sharing"",""สระบุรี!J397"")"),0.0)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IFERROR(__xludf.DUMMYFUNCTION("IMPORTRANGE(""https://docs.google.com/spreadsheets/d/1SX6NBoVAgQJ6U1MVXOaj8PK2l7WJ3RER9xtqwdhxkhw/edit?usp=sharing"",""สระบุรี!I398"")"),0.0)</f>
        <v>0</v>
      </c>
      <c r="J503" s="232">
        <f>IFERROR(__xludf.DUMMYFUNCTION("IMPORTRANGE(""https://docs.google.com/spreadsheets/d/1SX6NBoVAgQJ6U1MVXOaj8PK2l7WJ3RER9xtqwdhxkhw/edit?usp=sharing"",""สระบุรี!J398"")"),0.0)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IFERROR(__xludf.DUMMYFUNCTION("IMPORTRANGE(""https://docs.google.com/spreadsheets/d/1SX6NBoVAgQJ6U1MVXOaj8PK2l7WJ3RER9xtqwdhxkhw/edit?usp=sharing"",""สระบุรี!I399"")"),0.0)</f>
        <v>0</v>
      </c>
      <c r="J504" s="223">
        <f>IFERROR(__xludf.DUMMYFUNCTION("IMPORTRANGE(""https://docs.google.com/spreadsheets/d/1SX6NBoVAgQJ6U1MVXOaj8PK2l7WJ3RER9xtqwdhxkhw/edit?usp=sharing"",""สระบุรี!J399"")"),0.0)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IFERROR(__xludf.DUMMYFUNCTION("IMPORTRANGE(""https://docs.google.com/spreadsheets/d/1SX6NBoVAgQJ6U1MVXOaj8PK2l7WJ3RER9xtqwdhxkhw/edit?usp=sharing"",""สระบุรี!I400"")"),0.0)</f>
        <v>0</v>
      </c>
      <c r="J505" s="232">
        <f>IFERROR(__xludf.DUMMYFUNCTION("IMPORTRANGE(""https://docs.google.com/spreadsheets/d/1SX6NBoVAgQJ6U1MVXOaj8PK2l7WJ3RER9xtqwdhxkhw/edit?usp=sharing"",""สระบุรี!J400"")"),0.0)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IFERROR(__xludf.DUMMYFUNCTION("IMPORTRANGE(""https://docs.google.com/spreadsheets/d/1SX6NBoVAgQJ6U1MVXOaj8PK2l7WJ3RER9xtqwdhxkhw/edit?usp=sharing"",""สระบุรี!I401"")"),0.0)</f>
        <v>0</v>
      </c>
      <c r="J506" s="223">
        <f>IFERROR(__xludf.DUMMYFUNCTION("IMPORTRANGE(""https://docs.google.com/spreadsheets/d/1SX6NBoVAgQJ6U1MVXOaj8PK2l7WJ3RER9xtqwdhxkhw/edit?usp=sharing"",""สระบุรี!J401"")"),0.0)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IFERROR(__xludf.DUMMYFUNCTION("IMPORTRANGE(""https://docs.google.com/spreadsheets/d/1SX6NBoVAgQJ6U1MVXOaj8PK2l7WJ3RER9xtqwdhxkhw/edit?usp=sharing"",""สระบุรี!I402"")"),0.0)</f>
        <v>0</v>
      </c>
      <c r="J507" s="232">
        <f>IFERROR(__xludf.DUMMYFUNCTION("IMPORTRANGE(""https://docs.google.com/spreadsheets/d/1SX6NBoVAgQJ6U1MVXOaj8PK2l7WJ3RER9xtqwdhxkhw/edit?usp=sharing"",""สระบุรี!J402"")"),0.0)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IFERROR(__xludf.DUMMYFUNCTION("IMPORTRANGE(""https://docs.google.com/spreadsheets/d/1SX6NBoVAgQJ6U1MVXOaj8PK2l7WJ3RER9xtqwdhxkhw/edit?usp=sharing"",""สระบุรี!I403"")"),0.0)</f>
        <v>0</v>
      </c>
      <c r="J508" s="195">
        <f>IFERROR(__xludf.DUMMYFUNCTION("IMPORTRANGE(""https://docs.google.com/spreadsheets/d/1SX6NBoVAgQJ6U1MVXOaj8PK2l7WJ3RER9xtqwdhxkhw/edit?usp=sharing"",""สระบุรี!J403"")"),0.0)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IFERROR(__xludf.DUMMYFUNCTION("IMPORTRANGE(""https://docs.google.com/spreadsheets/d/1SX6NBoVAgQJ6U1MVXOaj8PK2l7WJ3RER9xtqwdhxkhw/edit?usp=sharing"",""สระบุรี!I404"")"),0.0)</f>
        <v>0</v>
      </c>
      <c r="J509" s="195">
        <f>IFERROR(__xludf.DUMMYFUNCTION("IMPORTRANGE(""https://docs.google.com/spreadsheets/d/1SX6NBoVAgQJ6U1MVXOaj8PK2l7WJ3RER9xtqwdhxkhw/edit?usp=sharing"",""สระบุรี!J404"")"),0.0)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IFERROR(__xludf.DUMMYFUNCTION("IMPORTRANGE(""https://docs.google.com/spreadsheets/d/1SX6NBoVAgQJ6U1MVXOaj8PK2l7WJ3RER9xtqwdhxkhw/edit?usp=sharing"",""สระบุรี!I405"")"),0.0)</f>
        <v>0</v>
      </c>
      <c r="J510" s="232">
        <f>IFERROR(__xludf.DUMMYFUNCTION("IMPORTRANGE(""https://docs.google.com/spreadsheets/d/1SX6NBoVAgQJ6U1MVXOaj8PK2l7WJ3RER9xtqwdhxkhw/edit?usp=sharing"",""สระบุรี!J405"")"),0.0)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IFERROR(__xludf.DUMMYFUNCTION("IMPORTRANGE(""https://docs.google.com/spreadsheets/d/1SX6NBoVAgQJ6U1MVXOaj8PK2l7WJ3RER9xtqwdhxkhw/edit?usp=sharing"",""สระบุรี!I406"")"),0.0)</f>
        <v>0</v>
      </c>
      <c r="J511" s="232">
        <f>IFERROR(__xludf.DUMMYFUNCTION("IMPORTRANGE(""https://docs.google.com/spreadsheets/d/1SX6NBoVAgQJ6U1MVXOaj8PK2l7WJ3RER9xtqwdhxkhw/edit?usp=sharing"",""สระบุรี!J406"")"),0.0)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IFERROR(__xludf.DUMMYFUNCTION("IMPORTRANGE(""https://docs.google.com/spreadsheets/d/1SX6NBoVAgQJ6U1MVXOaj8PK2l7WJ3RER9xtqwdhxkhw/edit?usp=sharing"",""สระบุรี!I407"")"),0.0)</f>
        <v>0</v>
      </c>
      <c r="J512" s="232">
        <f>IFERROR(__xludf.DUMMYFUNCTION("IMPORTRANGE(""https://docs.google.com/spreadsheets/d/1SX6NBoVAgQJ6U1MVXOaj8PK2l7WJ3RER9xtqwdhxkhw/edit?usp=sharing"",""สระบุรี!J407"")"),0.0)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IFERROR(__xludf.DUMMYFUNCTION("IMPORTRANGE(""https://docs.google.com/spreadsheets/d/1SX6NBoVAgQJ6U1MVXOaj8PK2l7WJ3RER9xtqwdhxkhw/edit?usp=sharing"",""สระบุรี!I408"")"),0.0)</f>
        <v>0</v>
      </c>
      <c r="J513" s="232">
        <f>IFERROR(__xludf.DUMMYFUNCTION("IMPORTRANGE(""https://docs.google.com/spreadsheets/d/1SX6NBoVAgQJ6U1MVXOaj8PK2l7WJ3RER9xtqwdhxkhw/edit?usp=sharing"",""สระบุรี!J408"")"),0.0)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IFERROR(__xludf.DUMMYFUNCTION("IMPORTRANGE(""https://docs.google.com/spreadsheets/d/1SX6NBoVAgQJ6U1MVXOaj8PK2l7WJ3RER9xtqwdhxkhw/edit?usp=sharing"",""สระบุรี!I409"")"),0.0)</f>
        <v>0</v>
      </c>
      <c r="J514" s="232">
        <f>IFERROR(__xludf.DUMMYFUNCTION("IMPORTRANGE(""https://docs.google.com/spreadsheets/d/1SX6NBoVAgQJ6U1MVXOaj8PK2l7WJ3RER9xtqwdhxkhw/edit?usp=sharing"",""สระบุรี!J409"")"),0.0)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IFERROR(__xludf.DUMMYFUNCTION("IMPORTRANGE(""https://docs.google.com/spreadsheets/d/1SX6NBoVAgQJ6U1MVXOaj8PK2l7WJ3RER9xtqwdhxkhw/edit?usp=sharing"",""สระบุรี!I410"")"),0.0)</f>
        <v>0</v>
      </c>
      <c r="J515" s="232">
        <f>IFERROR(__xludf.DUMMYFUNCTION("IMPORTRANGE(""https://docs.google.com/spreadsheets/d/1SX6NBoVAgQJ6U1MVXOaj8PK2l7WJ3RER9xtqwdhxkhw/edit?usp=sharing"",""สระบุรี!J410"")"),0.0)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IFERROR(__xludf.DUMMYFUNCTION("IMPORTRANGE(""https://docs.google.com/spreadsheets/d/1SX6NBoVAgQJ6U1MVXOaj8PK2l7WJ3RER9xtqwdhxkhw/edit?usp=sharing"",""สระบุรี!I411"")"),0.0)</f>
        <v>0</v>
      </c>
      <c r="J516" s="301">
        <f>IFERROR(__xludf.DUMMYFUNCTION("IMPORTRANGE(""https://docs.google.com/spreadsheets/d/1SX6NBoVAgQJ6U1MVXOaj8PK2l7WJ3RER9xtqwdhxkhw/edit?usp=sharing"",""สระบุรี!J411"")"),0.0)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IFERROR(__xludf.DUMMYFUNCTION("IMPORTRANGE(""https://docs.google.com/spreadsheets/d/1SX6NBoVAgQJ6U1MVXOaj8PK2l7WJ3RER9xtqwdhxkhw/edit?usp=sharing"",""สระบุรี!I412"")"),0.0)</f>
        <v>0</v>
      </c>
      <c r="J517" s="317">
        <f>IFERROR(__xludf.DUMMYFUNCTION("IMPORTRANGE(""https://docs.google.com/spreadsheets/d/1SX6NBoVAgQJ6U1MVXOaj8PK2l7WJ3RER9xtqwdhxkhw/edit?usp=sharing"",""สระบุรี!J412"")"),0.0)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IFERROR(__xludf.DUMMYFUNCTION("IMPORTRANGE(""https://docs.google.com/spreadsheets/d/1SX6NBoVAgQJ6U1MVXOaj8PK2l7WJ3RER9xtqwdhxkhw/edit?usp=sharing"",""สระบุรี!I413"")"),0.0)</f>
        <v>0</v>
      </c>
      <c r="J518" s="317">
        <f>IFERROR(__xludf.DUMMYFUNCTION("IMPORTRANGE(""https://docs.google.com/spreadsheets/d/1SX6NBoVAgQJ6U1MVXOaj8PK2l7WJ3RER9xtqwdhxkhw/edit?usp=sharing"",""สระบุรี!J413"")"),0.0)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IFERROR(__xludf.DUMMYFUNCTION("IMPORTRANGE(""https://docs.google.com/spreadsheets/d/1SX6NBoVAgQJ6U1MVXOaj8PK2l7WJ3RER9xtqwdhxkhw/edit?usp=sharing"",""สระบุรี!I414"")"),0.0)</f>
        <v>0</v>
      </c>
      <c r="J519" s="222">
        <f>IFERROR(__xludf.DUMMYFUNCTION("IMPORTRANGE(""https://docs.google.com/spreadsheets/d/1SX6NBoVAgQJ6U1MVXOaj8PK2l7WJ3RER9xtqwdhxkhw/edit?usp=sharing"",""สระบุรี!J414"")"),0.0)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IFERROR(__xludf.DUMMYFUNCTION("IMPORTRANGE(""https://docs.google.com/spreadsheets/d/1SX6NBoVAgQJ6U1MVXOaj8PK2l7WJ3RER9xtqwdhxkhw/edit?usp=sharing"",""สระบุรี!I415"")"),0.0)</f>
        <v>0</v>
      </c>
      <c r="J520" s="222">
        <f>IFERROR(__xludf.DUMMYFUNCTION("IMPORTRANGE(""https://docs.google.com/spreadsheets/d/1SX6NBoVAgQJ6U1MVXOaj8PK2l7WJ3RER9xtqwdhxkhw/edit?usp=sharing"",""สระบุรี!J415"")"),0.0)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IFERROR(__xludf.DUMMYFUNCTION("IMPORTRANGE(""https://docs.google.com/spreadsheets/d/1SX6NBoVAgQJ6U1MVXOaj8PK2l7WJ3RER9xtqwdhxkhw/edit?usp=sharing"",""สระบุรี!I416"")"),0.0)</f>
        <v>0</v>
      </c>
      <c r="J521" s="222">
        <f>IFERROR(__xludf.DUMMYFUNCTION("IMPORTRANGE(""https://docs.google.com/spreadsheets/d/1SX6NBoVAgQJ6U1MVXOaj8PK2l7WJ3RER9xtqwdhxkhw/edit?usp=sharing"",""สระบุรี!J416"")"),0.0)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IFERROR(__xludf.DUMMYFUNCTION("IMPORTRANGE(""https://docs.google.com/spreadsheets/d/1SX6NBoVAgQJ6U1MVXOaj8PK2l7WJ3RER9xtqwdhxkhw/edit?usp=sharing"",""สระบุรี!I417"")"),0.0)</f>
        <v>0</v>
      </c>
      <c r="J522" s="222">
        <f>IFERROR(__xludf.DUMMYFUNCTION("IMPORTRANGE(""https://docs.google.com/spreadsheets/d/1SX6NBoVAgQJ6U1MVXOaj8PK2l7WJ3RER9xtqwdhxkhw/edit?usp=sharing"",""สระบุรี!J417"")"),0.0)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IFERROR(__xludf.DUMMYFUNCTION("IMPORTRANGE(""https://docs.google.com/spreadsheets/d/1SX6NBoVAgQJ6U1MVXOaj8PK2l7WJ3RER9xtqwdhxkhw/edit?usp=sharing"",""สระบุรี!I418"")"),0.0)</f>
        <v>0</v>
      </c>
      <c r="J523" s="222">
        <f>IFERROR(__xludf.DUMMYFUNCTION("IMPORTRANGE(""https://docs.google.com/spreadsheets/d/1SX6NBoVAgQJ6U1MVXOaj8PK2l7WJ3RER9xtqwdhxkhw/edit?usp=sharing"",""สระบุรี!J418"")"),0.0)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IFERROR(__xludf.DUMMYFUNCTION("IMPORTRANGE(""https://docs.google.com/spreadsheets/d/1SX6NBoVAgQJ6U1MVXOaj8PK2l7WJ3RER9xtqwdhxkhw/edit?usp=sharing"",""สระบุรี!I419"")"),0.0)</f>
        <v>0</v>
      </c>
      <c r="J524" s="222">
        <f>IFERROR(__xludf.DUMMYFUNCTION("IMPORTRANGE(""https://docs.google.com/spreadsheets/d/1SX6NBoVAgQJ6U1MVXOaj8PK2l7WJ3RER9xtqwdhxkhw/edit?usp=sharing"",""สระบุรี!J419"")"),0.0)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IFERROR(__xludf.DUMMYFUNCTION("IMPORTRANGE(""https://docs.google.com/spreadsheets/d/1SX6NBoVAgQJ6U1MVXOaj8PK2l7WJ3RER9xtqwdhxkhw/edit?usp=sharing"",""สระบุรี!I420"")"),0.0)</f>
        <v>0</v>
      </c>
      <c r="J525" s="317">
        <f>IFERROR(__xludf.DUMMYFUNCTION("IMPORTRANGE(""https://docs.google.com/spreadsheets/d/1SX6NBoVAgQJ6U1MVXOaj8PK2l7WJ3RER9xtqwdhxkhw/edit?usp=sharing"",""สระบุรี!J420"")"),0.0)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IFERROR(__xludf.DUMMYFUNCTION("IMPORTRANGE(""https://docs.google.com/spreadsheets/d/1SX6NBoVAgQJ6U1MVXOaj8PK2l7WJ3RER9xtqwdhxkhw/edit?usp=sharing"",""สระบุรี!I421"")"),0.0)</f>
        <v>0</v>
      </c>
      <c r="J526" s="317">
        <f>IFERROR(__xludf.DUMMYFUNCTION("IMPORTRANGE(""https://docs.google.com/spreadsheets/d/1SX6NBoVAgQJ6U1MVXOaj8PK2l7WJ3RER9xtqwdhxkhw/edit?usp=sharing"",""สระบุรี!J421"")"),0.0)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IFERROR(__xludf.DUMMYFUNCTION("IMPORTRANGE(""https://docs.google.com/spreadsheets/d/1SX6NBoVAgQJ6U1MVXOaj8PK2l7WJ3RER9xtqwdhxkhw/edit?usp=sharing"",""สระบุรี!I422"")"),0.0)</f>
        <v>0</v>
      </c>
      <c r="J527" s="232">
        <f>IFERROR(__xludf.DUMMYFUNCTION("IMPORTRANGE(""https://docs.google.com/spreadsheets/d/1SX6NBoVAgQJ6U1MVXOaj8PK2l7WJ3RER9xtqwdhxkhw/edit?usp=sharing"",""สระบุรี!J422"")"),0.0)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IFERROR(__xludf.DUMMYFUNCTION("IMPORTRANGE(""https://docs.google.com/spreadsheets/d/1SX6NBoVAgQJ6U1MVXOaj8PK2l7WJ3RER9xtqwdhxkhw/edit?usp=sharing"",""สระบุรี!I423"")"),0.0)</f>
        <v>0</v>
      </c>
      <c r="J528" s="232">
        <f>IFERROR(__xludf.DUMMYFUNCTION("IMPORTRANGE(""https://docs.google.com/spreadsheets/d/1SX6NBoVAgQJ6U1MVXOaj8PK2l7WJ3RER9xtqwdhxkhw/edit?usp=sharing"",""สระบุรี!J423"")"),0.0)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IFERROR(__xludf.DUMMYFUNCTION("IMPORTRANGE(""https://docs.google.com/spreadsheets/d/1SX6NBoVAgQJ6U1MVXOaj8PK2l7WJ3RER9xtqwdhxkhw/edit?usp=sharing"",""สระบุรี!I424"")"),0.0)</f>
        <v>0</v>
      </c>
      <c r="J529" s="232">
        <f>IFERROR(__xludf.DUMMYFUNCTION("IMPORTRANGE(""https://docs.google.com/spreadsheets/d/1SX6NBoVAgQJ6U1MVXOaj8PK2l7WJ3RER9xtqwdhxkhw/edit?usp=sharing"",""สระบุรี!J424"")"),0.0)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IFERROR(__xludf.DUMMYFUNCTION("IMPORTRANGE(""https://docs.google.com/spreadsheets/d/1SX6NBoVAgQJ6U1MVXOaj8PK2l7WJ3RER9xtqwdhxkhw/edit?usp=sharing"",""สระบุรี!I425"")"),0.0)</f>
        <v>0</v>
      </c>
      <c r="J530" s="232">
        <f>IFERROR(__xludf.DUMMYFUNCTION("IMPORTRANGE(""https://docs.google.com/spreadsheets/d/1SX6NBoVAgQJ6U1MVXOaj8PK2l7WJ3RER9xtqwdhxkhw/edit?usp=sharing"",""สระบุรี!J425"")"),0.0)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IFERROR(__xludf.DUMMYFUNCTION("IMPORTRANGE(""https://docs.google.com/spreadsheets/d/1SX6NBoVAgQJ6U1MVXOaj8PK2l7WJ3RER9xtqwdhxkhw/edit?usp=sharing"",""สระบุรี!I426"")"),0.0)</f>
        <v>0</v>
      </c>
      <c r="J531" s="232">
        <f>IFERROR(__xludf.DUMMYFUNCTION("IMPORTRANGE(""https://docs.google.com/spreadsheets/d/1SX6NBoVAgQJ6U1MVXOaj8PK2l7WJ3RER9xtqwdhxkhw/edit?usp=sharing"",""สระบุรี!J426"")"),0.0)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IFERROR(__xludf.DUMMYFUNCTION("IMPORTRANGE(""https://docs.google.com/spreadsheets/d/1SX6NBoVAgQJ6U1MVXOaj8PK2l7WJ3RER9xtqwdhxkhw/edit?usp=sharing"",""สระบุรี!I427"")"),0.0)</f>
        <v>0</v>
      </c>
      <c r="J532" s="499">
        <f>IFERROR(__xludf.DUMMYFUNCTION("IMPORTRANGE(""https://docs.google.com/spreadsheets/d/1SX6NBoVAgQJ6U1MVXOaj8PK2l7WJ3RER9xtqwdhxkhw/edit?usp=sharing"",""สระบุรี!J427"")"),0.0)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IFERROR(__xludf.DUMMYFUNCTION("IMPORTRANGE(""https://docs.google.com/spreadsheets/d/1SX6NBoVAgQJ6U1MVXOaj8PK2l7WJ3RER9xtqwdhxkhw/edit?usp=sharing"",""สระบุรี!I428"")"),23.0)</f>
        <v>23</v>
      </c>
      <c r="J533" s="443">
        <f>IFERROR(__xludf.DUMMYFUNCTION("IMPORTRANGE(""https://docs.google.com/spreadsheets/d/1SX6NBoVAgQJ6U1MVXOaj8PK2l7WJ3RER9xtqwdhxkhw/edit?usp=sharing"",""สระบุรี!J428"")"),0.0)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IFERROR(__xludf.DUMMYFUNCTION("IMPORTRANGE(""https://docs.google.com/spreadsheets/d/1SX6NBoVAgQJ6U1MVXOaj8PK2l7WJ3RER9xtqwdhxkhw/edit?usp=sharing"",""สระบุรี!L428"")"),35190.0)</f>
        <v>35190</v>
      </c>
      <c r="M533" s="445"/>
      <c r="N533" s="445">
        <f>IFERROR(__xludf.DUMMYFUNCTION("IMPORTRANGE(""https://docs.google.com/spreadsheets/d/1SX6NBoVAgQJ6U1MVXOaj8PK2l7WJ3RER9xtqwdhxkhw/edit?usp=sharing"",""สระบุรี!M428"")"),0.0)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IFERROR(__xludf.DUMMYFUNCTION("IMPORTRANGE(""https://docs.google.com/spreadsheets/d/1SX6NBoVAgQJ6U1MVXOaj8PK2l7WJ3RER9xtqwdhxkhw/edit?usp=sharing"",""สระบุรี!L429"")"),0.0)</f>
        <v>0</v>
      </c>
      <c r="M534" s="197"/>
      <c r="N534" s="203">
        <f>IFERROR(__xludf.DUMMYFUNCTION("IMPORTRANGE(""https://docs.google.com/spreadsheets/d/1SX6NBoVAgQJ6U1MVXOaj8PK2l7WJ3RER9xtqwdhxkhw/edit?usp=sharing"",""สระบุรี!M429"")"),0.0)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IFERROR(__xludf.DUMMYFUNCTION("IMPORTRANGE(""https://docs.google.com/spreadsheets/d/1SX6NBoVAgQJ6U1MVXOaj8PK2l7WJ3RER9xtqwdhxkhw/edit?usp=sharing"",""สระบุรี!L430"")"),35190.0)</f>
        <v>35190</v>
      </c>
      <c r="M535" s="198"/>
      <c r="N535" s="203">
        <f>IFERROR(__xludf.DUMMYFUNCTION("IMPORTRANGE(""https://docs.google.com/spreadsheets/d/1SX6NBoVAgQJ6U1MVXOaj8PK2l7WJ3RER9xtqwdhxkhw/edit?usp=sharing"",""สระบุรี!M430"")"),0.0)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IFERROR(__xludf.DUMMYFUNCTION("IMPORTRANGE(""https://docs.google.com/spreadsheets/d/1SX6NBoVAgQJ6U1MVXOaj8PK2l7WJ3RER9xtqwdhxkhw/edit?usp=sharing"",""สระบุรี!L431"")"),0.0)</f>
        <v>0</v>
      </c>
      <c r="M536" s="203"/>
      <c r="N536" s="203">
        <f>IFERROR(__xludf.DUMMYFUNCTION("IMPORTRANGE(""https://docs.google.com/spreadsheets/d/1SX6NBoVAgQJ6U1MVXOaj8PK2l7WJ3RER9xtqwdhxkhw/edit?usp=sharing"",""สระบุรี!M431"")"),0.0)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IFERROR(__xludf.DUMMYFUNCTION("IMPORTRANGE(""https://docs.google.com/spreadsheets/d/1SX6NBoVAgQJ6U1MVXOaj8PK2l7WJ3RER9xtqwdhxkhw/edit?usp=sharing"",""สระบุรี!L432"")"),35190.0)</f>
        <v>35190</v>
      </c>
      <c r="M537" s="203"/>
      <c r="N537" s="203">
        <f>IFERROR(__xludf.DUMMYFUNCTION("IMPORTRANGE(""https://docs.google.com/spreadsheets/d/1SX6NBoVAgQJ6U1MVXOaj8PK2l7WJ3RER9xtqwdhxkhw/edit?usp=sharing"",""สระบุรี!M432"")"),0.0)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IFERROR(__xludf.DUMMYFUNCTION("IMPORTRANGE(""https://docs.google.com/spreadsheets/d/1SX6NBoVAgQJ6U1MVXOaj8PK2l7WJ3RER9xtqwdhxkhw/edit?usp=sharing"",""สระบุรี!M433"")"),0.0)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IFERROR(__xludf.DUMMYFUNCTION("IMPORTRANGE(""https://docs.google.com/spreadsheets/d/1SX6NBoVAgQJ6U1MVXOaj8PK2l7WJ3RER9xtqwdhxkhw/edit?usp=sharing"",""สระบุรี!M434"")"),0.0)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IFERROR(__xludf.DUMMYFUNCTION("IMPORTRANGE(""https://docs.google.com/spreadsheets/d/1SX6NBoVAgQJ6U1MVXOaj8PK2l7WJ3RER9xtqwdhxkhw/edit?usp=sharing"",""สระบุรี!M435"")"),0.0)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IFERROR(__xludf.DUMMYFUNCTION("IMPORTRANGE(""https://docs.google.com/spreadsheets/d/1SX6NBoVAgQJ6U1MVXOaj8PK2l7WJ3RER9xtqwdhxkhw/edit?usp=sharing"",""สระบุรี!M436"")"),0.0)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IFERROR(__xludf.DUMMYFUNCTION("IMPORTRANGE(""https://docs.google.com/spreadsheets/d/1SX6NBoVAgQJ6U1MVXOaj8PK2l7WJ3RER9xtqwdhxkhw/edit?usp=sharing"",""สระบุรี!J438"")"),0.0)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IFERROR(__xludf.DUMMYFUNCTION("IMPORTRANGE(""https://docs.google.com/spreadsheets/d/1SX6NBoVAgQJ6U1MVXOaj8PK2l7WJ3RER9xtqwdhxkhw/edit?usp=sharing"",""สระบุรี!J439"")"),0.0)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IFERROR(__xludf.DUMMYFUNCTION("IMPORTRANGE(""https://docs.google.com/spreadsheets/d/1SX6NBoVAgQJ6U1MVXOaj8PK2l7WJ3RER9xtqwdhxkhw/edit?usp=sharing"",""สระบุรี!J440"")"),0.0)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IFERROR(__xludf.DUMMYFUNCTION("IMPORTRANGE(""https://docs.google.com/spreadsheets/d/1SX6NBoVAgQJ6U1MVXOaj8PK2l7WJ3RER9xtqwdhxkhw/edit?usp=sharing"",""สระบุรี!J441"")"),0.0)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IFERROR(__xludf.DUMMYFUNCTION("IMPORTRANGE(""https://docs.google.com/spreadsheets/d/1SX6NBoVAgQJ6U1MVXOaj8PK2l7WJ3RER9xtqwdhxkhw/edit?usp=sharing"",""สระบุรี!I442"")"),23.0)</f>
        <v>23</v>
      </c>
      <c r="J547" s="223">
        <f>IFERROR(__xludf.DUMMYFUNCTION("IMPORTRANGE(""https://docs.google.com/spreadsheets/d/1SX6NBoVAgQJ6U1MVXOaj8PK2l7WJ3RER9xtqwdhxkhw/edit?usp=sharing"",""สระบุรี!J442"")"),0.0)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IFERROR(__xludf.DUMMYFUNCTION("IMPORTRANGE(""https://docs.google.com/spreadsheets/d/1SX6NBoVAgQJ6U1MVXOaj8PK2l7WJ3RER9xtqwdhxkhw/edit?usp=sharing"",""สระบุรี!J166"")"),0.0)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IFERROR(__xludf.DUMMYFUNCTION("IMPORTRANGE(""https://docs.google.com/spreadsheets/d/1SX6NBoVAgQJ6U1MVXOaj8PK2l7WJ3RER9xtqwdhxkhw/edit?usp=sharing"",""สระบุรี!J444"")"),0.0)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IFERROR(__xludf.DUMMYFUNCTION("IMPORTRANGE(""https://docs.google.com/spreadsheets/d/1SX6NBoVAgQJ6U1MVXOaj8PK2l7WJ3RER9xtqwdhxkhw/edit?usp=sharing"",""สระบุรี!J445"")"),0.0)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IFERROR(__xludf.DUMMYFUNCTION("IMPORTRANGE(""https://docs.google.com/spreadsheets/d/1SX6NBoVAgQJ6U1MVXOaj8PK2l7WJ3RER9xtqwdhxkhw/edit?usp=sharing"",""สระบุรี!I446"")"),0.0)</f>
        <v>0</v>
      </c>
      <c r="J551" s="443">
        <f>IFERROR(__xludf.DUMMYFUNCTION("IMPORTRANGE(""https://docs.google.com/spreadsheets/d/1SX6NBoVAgQJ6U1MVXOaj8PK2l7WJ3RER9xtqwdhxkhw/edit?usp=sharing"",""สระบุรี!J446"")"),0.0)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IFERROR(__xludf.DUMMYFUNCTION("IMPORTRANGE(""https://docs.google.com/spreadsheets/d/1SX6NBoVAgQJ6U1MVXOaj8PK2l7WJ3RER9xtqwdhxkhw/edit?usp=sharing"",""สระบุรี!L446"")"),0.0)</f>
        <v>0</v>
      </c>
      <c r="M551" s="445"/>
      <c r="N551" s="445">
        <f>IFERROR(__xludf.DUMMYFUNCTION("IMPORTRANGE(""https://docs.google.com/spreadsheets/d/1SX6NBoVAgQJ6U1MVXOaj8PK2l7WJ3RER9xtqwdhxkhw/edit?usp=sharing"",""สระบุรี!M446"")"),0.0)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IFERROR(__xludf.DUMMYFUNCTION("IMPORTRANGE(""https://docs.google.com/spreadsheets/d/1SX6NBoVAgQJ6U1MVXOaj8PK2l7WJ3RER9xtqwdhxkhw/edit?usp=sharing"",""สระบุรี!L447"")"),0.0)</f>
        <v>0</v>
      </c>
      <c r="M552" s="197"/>
      <c r="N552" s="203">
        <f>IFERROR(__xludf.DUMMYFUNCTION("IMPORTRANGE(""https://docs.google.com/spreadsheets/d/1SX6NBoVAgQJ6U1MVXOaj8PK2l7WJ3RER9xtqwdhxkhw/edit?usp=sharing"",""สระบุรี!M447"")"),0.0)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IFERROR(__xludf.DUMMYFUNCTION("IMPORTRANGE(""https://docs.google.com/spreadsheets/d/1SX6NBoVAgQJ6U1MVXOaj8PK2l7WJ3RER9xtqwdhxkhw/edit?usp=sharing"",""สระบุรี!L448"")"),0.0)</f>
        <v>0</v>
      </c>
      <c r="M553" s="198"/>
      <c r="N553" s="203">
        <f>IFERROR(__xludf.DUMMYFUNCTION("IMPORTRANGE(""https://docs.google.com/spreadsheets/d/1SX6NBoVAgQJ6U1MVXOaj8PK2l7WJ3RER9xtqwdhxkhw/edit?usp=sharing"",""สระบุรี!M448"")"),0.0)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IFERROR(__xludf.DUMMYFUNCTION("IMPORTRANGE(""https://docs.google.com/spreadsheets/d/1SX6NBoVAgQJ6U1MVXOaj8PK2l7WJ3RER9xtqwdhxkhw/edit?usp=sharing"",""สระบุรี!L449"")"),0.0)</f>
        <v>0</v>
      </c>
      <c r="M554" s="203"/>
      <c r="N554" s="203">
        <f>IFERROR(__xludf.DUMMYFUNCTION("IMPORTRANGE(""https://docs.google.com/spreadsheets/d/1SX6NBoVAgQJ6U1MVXOaj8PK2l7WJ3RER9xtqwdhxkhw/edit?usp=sharing"",""สระบุรี!M449"")"),0.0)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IFERROR(__xludf.DUMMYFUNCTION("IMPORTRANGE(""https://docs.google.com/spreadsheets/d/1SX6NBoVAgQJ6U1MVXOaj8PK2l7WJ3RER9xtqwdhxkhw/edit?usp=sharing"",""สระบุรี!L450"")"),0.0)</f>
        <v>0</v>
      </c>
      <c r="M555" s="203"/>
      <c r="N555" s="203">
        <f>IFERROR(__xludf.DUMMYFUNCTION("IMPORTRANGE(""https://docs.google.com/spreadsheets/d/1SX6NBoVAgQJ6U1MVXOaj8PK2l7WJ3RER9xtqwdhxkhw/edit?usp=sharing"",""สระบุรี!M450"")"),0.0)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IFERROR(__xludf.DUMMYFUNCTION("IMPORTRANGE(""https://docs.google.com/spreadsheets/d/1SX6NBoVAgQJ6U1MVXOaj8PK2l7WJ3RER9xtqwdhxkhw/edit?usp=sharing"",""สระบุรี!M451"")"),0.0)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IFERROR(__xludf.DUMMYFUNCTION("IMPORTRANGE(""https://docs.google.com/spreadsheets/d/1SX6NBoVAgQJ6U1MVXOaj8PK2l7WJ3RER9xtqwdhxkhw/edit?usp=sharing"",""สระบุรี!M452"")"),0.0)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IFERROR(__xludf.DUMMYFUNCTION("IMPORTRANGE(""https://docs.google.com/spreadsheets/d/1SX6NBoVAgQJ6U1MVXOaj8PK2l7WJ3RER9xtqwdhxkhw/edit?usp=sharing"",""สระบุรี!M453"")"),0.0)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IFERROR(__xludf.DUMMYFUNCTION("IMPORTRANGE(""https://docs.google.com/spreadsheets/d/1SX6NBoVAgQJ6U1MVXOaj8PK2l7WJ3RER9xtqwdhxkhw/edit?usp=sharing"",""สระบุรี!M454"")"),0.0)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IFERROR(__xludf.DUMMYFUNCTION("IMPORTRANGE(""https://docs.google.com/spreadsheets/d/1SX6NBoVAgQJ6U1MVXOaj8PK2l7WJ3RER9xtqwdhxkhw/edit?usp=sharing"",""สระบุรี!I455"")"),0.0)</f>
        <v>0</v>
      </c>
      <c r="J560" s="195">
        <f>IFERROR(__xludf.DUMMYFUNCTION("IMPORTRANGE(""https://docs.google.com/spreadsheets/d/1SX6NBoVAgQJ6U1MVXOaj8PK2l7WJ3RER9xtqwdhxkhw/edit?usp=sharing"",""สระบุรี!J455"")"),0.0)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IFERROR(__xludf.DUMMYFUNCTION("IMPORTRANGE(""https://docs.google.com/spreadsheets/d/1SX6NBoVAgQJ6U1MVXOaj8PK2l7WJ3RER9xtqwdhxkhw/edit?usp=sharing"",""สระบุรี!I456"")"),0.0)</f>
        <v>0</v>
      </c>
      <c r="J561" s="238">
        <f>IFERROR(__xludf.DUMMYFUNCTION("IMPORTRANGE(""https://docs.google.com/spreadsheets/d/1SX6NBoVAgQJ6U1MVXOaj8PK2l7WJ3RER9xtqwdhxkhw/edit?usp=sharing"",""สระบุรี!J456"")"),0.0)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IFERROR(__xludf.DUMMYFUNCTION("IMPORTRANGE(""https://docs.google.com/spreadsheets/d/1SX6NBoVAgQJ6U1MVXOaj8PK2l7WJ3RER9xtqwdhxkhw/edit?usp=sharing"",""สระบุรี!I457"")"),"")</f>
        <v/>
      </c>
      <c r="J562" s="238" t="str">
        <f>IFERROR(__xludf.DUMMYFUNCTION("IMPORTRANGE(""https://docs.google.com/spreadsheets/d/1SX6NBoVAgQJ6U1MVXOaj8PK2l7WJ3RER9xtqwdhxkhw/edit?usp=sharing"",""สระบุรี!J457"")"),"")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IFERROR(__xludf.DUMMYFUNCTION("IMPORTRANGE(""https://docs.google.com/spreadsheets/d/1SX6NBoVAgQJ6U1MVXOaj8PK2l7WJ3RER9xtqwdhxkhw/edit?usp=sharing"",""สระบุรี!I458"")"),"")</f>
        <v/>
      </c>
      <c r="J563" s="222" t="str">
        <f>IFERROR(__xludf.DUMMYFUNCTION("IMPORTRANGE(""https://docs.google.com/spreadsheets/d/1SX6NBoVAgQJ6U1MVXOaj8PK2l7WJ3RER9xtqwdhxkhw/edit?usp=sharing"",""สระบุรี!J458"")"),"")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IFERROR(__xludf.DUMMYFUNCTION("IMPORTRANGE(""https://docs.google.com/spreadsheets/d/1SX6NBoVAgQJ6U1MVXOaj8PK2l7WJ3RER9xtqwdhxkhw/edit?usp=sharing"",""สระบุรี!I459"")"),600.0)</f>
        <v>600</v>
      </c>
      <c r="J564" s="404">
        <f>IFERROR(__xludf.DUMMYFUNCTION("IMPORTRANGE(""https://docs.google.com/spreadsheets/d/1SX6NBoVAgQJ6U1MVXOaj8PK2l7WJ3RER9xtqwdhxkhw/edit?usp=sharing"",""สระบุรี!J459"")"),0.0)</f>
        <v>0</v>
      </c>
      <c r="K564" s="405">
        <f t="shared" si="122"/>
        <v>0</v>
      </c>
      <c r="L564" s="406">
        <f>IFERROR(__xludf.DUMMYFUNCTION("IMPORTRANGE(""https://docs.google.com/spreadsheets/d/1SX6NBoVAgQJ6U1MVXOaj8PK2l7WJ3RER9xtqwdhxkhw/edit?usp=sharing"",""สระบุรี!L459"")"),125680.0)</f>
        <v>125680</v>
      </c>
      <c r="M564" s="406"/>
      <c r="N564" s="406">
        <f>IFERROR(__xludf.DUMMYFUNCTION("IMPORTRANGE(""https://docs.google.com/spreadsheets/d/1SX6NBoVAgQJ6U1MVXOaj8PK2l7WJ3RER9xtqwdhxkhw/edit?usp=sharing"",""สระบุรี!M459"")"),0.0)</f>
        <v>0</v>
      </c>
      <c r="O564" s="406">
        <f t="shared" ref="O564:O568" si="123">+IF(L564&gt;0,N564*100/L564,0)</f>
        <v>0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IFERROR(__xludf.DUMMYFUNCTION("IMPORTRANGE(""https://docs.google.com/spreadsheets/d/1SX6NBoVAgQJ6U1MVXOaj8PK2l7WJ3RER9xtqwdhxkhw/edit?usp=sharing"",""สระบุรี!L460"")"),0.0)</f>
        <v>0</v>
      </c>
      <c r="M565" s="197"/>
      <c r="N565" s="203">
        <f>IFERROR(__xludf.DUMMYFUNCTION("IMPORTRANGE(""https://docs.google.com/spreadsheets/d/1SX6NBoVAgQJ6U1MVXOaj8PK2l7WJ3RER9xtqwdhxkhw/edit?usp=sharing"",""สระบุรี!M460"")"),0.0)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IFERROR(__xludf.DUMMYFUNCTION("IMPORTRANGE(""https://docs.google.com/spreadsheets/d/1SX6NBoVAgQJ6U1MVXOaj8PK2l7WJ3RER9xtqwdhxkhw/edit?usp=sharing"",""สระบุรี!L461"")"),125680.0)</f>
        <v>125680</v>
      </c>
      <c r="M566" s="198"/>
      <c r="N566" s="203">
        <f>IFERROR(__xludf.DUMMYFUNCTION("IMPORTRANGE(""https://docs.google.com/spreadsheets/d/1SX6NBoVAgQJ6U1MVXOaj8PK2l7WJ3RER9xtqwdhxkhw/edit?usp=sharing"",""สระบุรี!M461"")"),0.0)</f>
        <v>0</v>
      </c>
      <c r="O566" s="203">
        <f t="shared" si="123"/>
        <v>0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IFERROR(__xludf.DUMMYFUNCTION("IMPORTRANGE(""https://docs.google.com/spreadsheets/d/1SX6NBoVAgQJ6U1MVXOaj8PK2l7WJ3RER9xtqwdhxkhw/edit?usp=sharing"",""สระบุรี!L462"")"),0.0)</f>
        <v>0</v>
      </c>
      <c r="M567" s="203"/>
      <c r="N567" s="203">
        <f>IFERROR(__xludf.DUMMYFUNCTION("IMPORTRANGE(""https://docs.google.com/spreadsheets/d/1SX6NBoVAgQJ6U1MVXOaj8PK2l7WJ3RER9xtqwdhxkhw/edit?usp=sharing"",""สระบุรี!M462"")"),0.0)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IFERROR(__xludf.DUMMYFUNCTION("IMPORTRANGE(""https://docs.google.com/spreadsheets/d/1SX6NBoVAgQJ6U1MVXOaj8PK2l7WJ3RER9xtqwdhxkhw/edit?usp=sharing"",""สระบุรี!L463"")"),125680.0)</f>
        <v>125680</v>
      </c>
      <c r="M568" s="203"/>
      <c r="N568" s="203">
        <f>IFERROR(__xludf.DUMMYFUNCTION("IMPORTRANGE(""https://docs.google.com/spreadsheets/d/1SX6NBoVAgQJ6U1MVXOaj8PK2l7WJ3RER9xtqwdhxkhw/edit?usp=sharing"",""สระบุรี!M463"")"),0.0)</f>
        <v>0</v>
      </c>
      <c r="O568" s="203">
        <f t="shared" si="123"/>
        <v>0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IFERROR(__xludf.DUMMYFUNCTION("IMPORTRANGE(""https://docs.google.com/spreadsheets/d/1SX6NBoVAgQJ6U1MVXOaj8PK2l7WJ3RER9xtqwdhxkhw/edit?usp=sharing"",""สระบุรี!M464"")"),0.0)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IFERROR(__xludf.DUMMYFUNCTION("IMPORTRANGE(""https://docs.google.com/spreadsheets/d/1SX6NBoVAgQJ6U1MVXOaj8PK2l7WJ3RER9xtqwdhxkhw/edit?usp=sharing"",""สระบุรี!M465"")"),0.0)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IFERROR(__xludf.DUMMYFUNCTION("IMPORTRANGE(""https://docs.google.com/spreadsheets/d/1SX6NBoVAgQJ6U1MVXOaj8PK2l7WJ3RER9xtqwdhxkhw/edit?usp=sharing"",""สระบุรี!M466"")"),0.0)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IFERROR(__xludf.DUMMYFUNCTION("IMPORTRANGE(""https://docs.google.com/spreadsheets/d/1SX6NBoVAgQJ6U1MVXOaj8PK2l7WJ3RER9xtqwdhxkhw/edit?usp=sharing"",""สระบุรี!M467"")"),0.0)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IFERROR(__xludf.DUMMYFUNCTION("IMPORTRANGE(""https://docs.google.com/spreadsheets/d/1SX6NBoVAgQJ6U1MVXOaj8PK2l7WJ3RER9xtqwdhxkhw/edit?usp=sharing"",""สระบุรี!I468"")"),600.0)</f>
        <v>600</v>
      </c>
      <c r="J573" s="453">
        <f>IFERROR(__xludf.DUMMYFUNCTION("IMPORTRANGE(""https://docs.google.com/spreadsheets/d/1SX6NBoVAgQJ6U1MVXOaj8PK2l7WJ3RER9xtqwdhxkhw/edit?usp=sharing"",""สระบุรี!J468"")"),0.0)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IFERROR(__xludf.DUMMYFUNCTION("IMPORTRANGE(""https://docs.google.com/spreadsheets/d/1SX6NBoVAgQJ6U1MVXOaj8PK2l7WJ3RER9xtqwdhxkhw/edit?usp=sharing"",""สระบุรี!I470"")"),0.0)</f>
        <v>0</v>
      </c>
      <c r="J575" s="232">
        <f>IFERROR(__xludf.DUMMYFUNCTION("IMPORTRANGE(""https://docs.google.com/spreadsheets/d/1SX6NBoVAgQJ6U1MVXOaj8PK2l7WJ3RER9xtqwdhxkhw/edit?usp=sharing"",""สระบุรี!J470"")"),0.0)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IFERROR(__xludf.DUMMYFUNCTION("IMPORTRANGE(""https://docs.google.com/spreadsheets/d/1SX6NBoVAgQJ6U1MVXOaj8PK2l7WJ3RER9xtqwdhxkhw/edit?usp=sharing"",""สระบุรี!I471"")"),0.0)</f>
        <v>0</v>
      </c>
      <c r="J576" s="232">
        <f>IFERROR(__xludf.DUMMYFUNCTION("IMPORTRANGE(""https://docs.google.com/spreadsheets/d/1SX6NBoVAgQJ6U1MVXOaj8PK2l7WJ3RER9xtqwdhxkhw/edit?usp=sharing"",""สระบุรี!J471"")"),0.0)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IFERROR(__xludf.DUMMYFUNCTION("IMPORTRANGE(""https://docs.google.com/spreadsheets/d/1SX6NBoVAgQJ6U1MVXOaj8PK2l7WJ3RER9xtqwdhxkhw/edit?usp=sharing"",""สระบุรี!I472"")"),0.0)</f>
        <v>0</v>
      </c>
      <c r="J577" s="223">
        <f>IFERROR(__xludf.DUMMYFUNCTION("IMPORTRANGE(""https://docs.google.com/spreadsheets/d/1SX6NBoVAgQJ6U1MVXOaj8PK2l7WJ3RER9xtqwdhxkhw/edit?usp=sharing"",""สระบุรี!J472"")"),0.0)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IFERROR(__xludf.DUMMYFUNCTION("IMPORTRANGE(""https://docs.google.com/spreadsheets/d/1SX6NBoVAgQJ6U1MVXOaj8PK2l7WJ3RER9xtqwdhxkhw/edit?usp=sharing"",""สระบุรี!I473"")"),0.0)</f>
        <v>0</v>
      </c>
      <c r="J578" s="232">
        <f>IFERROR(__xludf.DUMMYFUNCTION("IMPORTRANGE(""https://docs.google.com/spreadsheets/d/1SX6NBoVAgQJ6U1MVXOaj8PK2l7WJ3RER9xtqwdhxkhw/edit?usp=sharing"",""สระบุรี!J473"")"),0.0)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IFERROR(__xludf.DUMMYFUNCTION("IMPORTRANGE(""https://docs.google.com/spreadsheets/d/1SX6NBoVAgQJ6U1MVXOaj8PK2l7WJ3RER9xtqwdhxkhw/edit?usp=sharing"",""สระบุรี!I474"")"),0.0)</f>
        <v>0</v>
      </c>
      <c r="J579" s="232">
        <f>IFERROR(__xludf.DUMMYFUNCTION("IMPORTRANGE(""https://docs.google.com/spreadsheets/d/1SX6NBoVAgQJ6U1MVXOaj8PK2l7WJ3RER9xtqwdhxkhw/edit?usp=sharing"",""สระบุรี!J474"")"),0.0)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IFERROR(__xludf.DUMMYFUNCTION("IMPORTRANGE(""https://docs.google.com/spreadsheets/d/1SX6NBoVAgQJ6U1MVXOaj8PK2l7WJ3RER9xtqwdhxkhw/edit?usp=sharing"",""สระบุรี!I475"")"),500.0)</f>
        <v>500</v>
      </c>
      <c r="J580" s="404">
        <f>IFERROR(__xludf.DUMMYFUNCTION("IMPORTRANGE(""https://docs.google.com/spreadsheets/d/1SX6NBoVAgQJ6U1MVXOaj8PK2l7WJ3RER9xtqwdhxkhw/edit?usp=sharing"",""สระบุรี!J475"")"),0.0)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IFERROR(__xludf.DUMMYFUNCTION("IMPORTRANGE(""https://docs.google.com/spreadsheets/d/1SX6NBoVAgQJ6U1MVXOaj8PK2l7WJ3RER9xtqwdhxkhw/edit?usp=sharing"",""สระบุรี!L475"")"),377750.0)</f>
        <v>377750</v>
      </c>
      <c r="M580" s="406"/>
      <c r="N580" s="406">
        <f>IFERROR(__xludf.DUMMYFUNCTION("IMPORTRANGE(""https://docs.google.com/spreadsheets/d/1SX6NBoVAgQJ6U1MVXOaj8PK2l7WJ3RER9xtqwdhxkhw/edit?usp=sharing"",""สระบุรี!M475"")"),0.0)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IFERROR(__xludf.DUMMYFUNCTION("IMPORTRANGE(""https://docs.google.com/spreadsheets/d/1SX6NBoVAgQJ6U1MVXOaj8PK2l7WJ3RER9xtqwdhxkhw/edit?usp=sharing"",""สระบุรี!L476"")"),0.0)</f>
        <v>0</v>
      </c>
      <c r="M581" s="197"/>
      <c r="N581" s="203">
        <f>IFERROR(__xludf.DUMMYFUNCTION("IMPORTRANGE(""https://docs.google.com/spreadsheets/d/1SX6NBoVAgQJ6U1MVXOaj8PK2l7WJ3RER9xtqwdhxkhw/edit?usp=sharing"",""สระบุรี!M476"")"),0.0)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IFERROR(__xludf.DUMMYFUNCTION("IMPORTRANGE(""https://docs.google.com/spreadsheets/d/1SX6NBoVAgQJ6U1MVXOaj8PK2l7WJ3RER9xtqwdhxkhw/edit?usp=sharing"",""สระบุรี!L477"")"),377750.0)</f>
        <v>377750</v>
      </c>
      <c r="M582" s="198"/>
      <c r="N582" s="203">
        <f>IFERROR(__xludf.DUMMYFUNCTION("IMPORTRANGE(""https://docs.google.com/spreadsheets/d/1SX6NBoVAgQJ6U1MVXOaj8PK2l7WJ3RER9xtqwdhxkhw/edit?usp=sharing"",""สระบุรี!M477"")"),0.0)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IFERROR(__xludf.DUMMYFUNCTION("IMPORTRANGE(""https://docs.google.com/spreadsheets/d/1SX6NBoVAgQJ6U1MVXOaj8PK2l7WJ3RER9xtqwdhxkhw/edit?usp=sharing"",""สระบุรี!L478"")"),0.0)</f>
        <v>0</v>
      </c>
      <c r="M583" s="203"/>
      <c r="N583" s="203">
        <f>IFERROR(__xludf.DUMMYFUNCTION("IMPORTRANGE(""https://docs.google.com/spreadsheets/d/1SX6NBoVAgQJ6U1MVXOaj8PK2l7WJ3RER9xtqwdhxkhw/edit?usp=sharing"",""สระบุรี!M478"")"),0.0)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IFERROR(__xludf.DUMMYFUNCTION("IMPORTRANGE(""https://docs.google.com/spreadsheets/d/1SX6NBoVAgQJ6U1MVXOaj8PK2l7WJ3RER9xtqwdhxkhw/edit?usp=sharing"",""สระบุรี!L479"")"),377750.0)</f>
        <v>377750</v>
      </c>
      <c r="M584" s="203"/>
      <c r="N584" s="203">
        <f>IFERROR(__xludf.DUMMYFUNCTION("IMPORTRANGE(""https://docs.google.com/spreadsheets/d/1SX6NBoVAgQJ6U1MVXOaj8PK2l7WJ3RER9xtqwdhxkhw/edit?usp=sharing"",""สระบุรี!M479"")"),0.0)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IFERROR(__xludf.DUMMYFUNCTION("IMPORTRANGE(""https://docs.google.com/spreadsheets/d/1SX6NBoVAgQJ6U1MVXOaj8PK2l7WJ3RER9xtqwdhxkhw/edit?usp=sharing"",""สระบุรี!M480"")"),0.0)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IFERROR(__xludf.DUMMYFUNCTION("IMPORTRANGE(""https://docs.google.com/spreadsheets/d/1SX6NBoVAgQJ6U1MVXOaj8PK2l7WJ3RER9xtqwdhxkhw/edit?usp=sharing"",""สระบุรี!M481"")"),0.0)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IFERROR(__xludf.DUMMYFUNCTION("IMPORTRANGE(""https://docs.google.com/spreadsheets/d/1SX6NBoVAgQJ6U1MVXOaj8PK2l7WJ3RER9xtqwdhxkhw/edit?usp=sharing"",""สระบุรี!M482"")"),0.0)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IFERROR(__xludf.DUMMYFUNCTION("IMPORTRANGE(""https://docs.google.com/spreadsheets/d/1SX6NBoVAgQJ6U1MVXOaj8PK2l7WJ3RER9xtqwdhxkhw/edit?usp=sharing"",""สระบุรี!M483"")"),0.0)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IFERROR(__xludf.DUMMYFUNCTION("IMPORTRANGE(""https://docs.google.com/spreadsheets/d/1SX6NBoVAgQJ6U1MVXOaj8PK2l7WJ3RER9xtqwdhxkhw/edit?usp=sharing"",""สระบุรี!I484"")"),500.0)</f>
        <v>500</v>
      </c>
      <c r="J589" s="222">
        <f>IFERROR(__xludf.DUMMYFUNCTION("IMPORTRANGE(""https://docs.google.com/spreadsheets/d/1SX6NBoVAgQJ6U1MVXOaj8PK2l7WJ3RER9xtqwdhxkhw/edit?usp=sharing"",""สระบุรี!J484"")"),26.0)</f>
        <v>26</v>
      </c>
      <c r="K589" s="196">
        <f t="shared" ref="K589:K596" si="126">IF(I589&gt;0,J589*100/I589,0)</f>
        <v>5.2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IFERROR(__xludf.DUMMYFUNCTION("IMPORTRANGE(""https://docs.google.com/spreadsheets/d/1SX6NBoVAgQJ6U1MVXOaj8PK2l7WJ3RER9xtqwdhxkhw/edit?usp=sharing"",""สระบุรี!I485"")"),0.0)</f>
        <v>0</v>
      </c>
      <c r="J590" s="222">
        <f>IFERROR(__xludf.DUMMYFUNCTION("IMPORTRANGE(""https://docs.google.com/spreadsheets/d/1SX6NBoVAgQJ6U1MVXOaj8PK2l7WJ3RER9xtqwdhxkhw/edit?usp=sharing"",""สระบุรี!J485"")"),34.53)</f>
        <v>34.53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IFERROR(__xludf.DUMMYFUNCTION("IMPORTRANGE(""https://docs.google.com/spreadsheets/d/1SX6NBoVAgQJ6U1MVXOaj8PK2l7WJ3RER9xtqwdhxkhw/edit?usp=sharing"",""สระบุรี!I486"")"),500.0)</f>
        <v>500</v>
      </c>
      <c r="J591" s="222">
        <f>IFERROR(__xludf.DUMMYFUNCTION("IMPORTRANGE(""https://docs.google.com/spreadsheets/d/1SX6NBoVAgQJ6U1MVXOaj8PK2l7WJ3RER9xtqwdhxkhw/edit?usp=sharing"",""สระบุรี!J486"")"),0.0)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IFERROR(__xludf.DUMMYFUNCTION("IMPORTRANGE(""https://docs.google.com/spreadsheets/d/1SX6NBoVAgQJ6U1MVXOaj8PK2l7WJ3RER9xtqwdhxkhw/edit?usp=sharing"",""สระบุรี!I487"")"),0.0)</f>
        <v>0</v>
      </c>
      <c r="J592" s="222">
        <f>IFERROR(__xludf.DUMMYFUNCTION("IMPORTRANGE(""https://docs.google.com/spreadsheets/d/1SX6NBoVAgQJ6U1MVXOaj8PK2l7WJ3RER9xtqwdhxkhw/edit?usp=sharing"",""สระบุรี!J487"")"),0.0)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IFERROR(__xludf.DUMMYFUNCTION("IMPORTRANGE(""https://docs.google.com/spreadsheets/d/1SX6NBoVAgQJ6U1MVXOaj8PK2l7WJ3RER9xtqwdhxkhw/edit?usp=sharing"",""สระบุรี!I488"")"),500.0)</f>
        <v>500</v>
      </c>
      <c r="J593" s="222">
        <f>IFERROR(__xludf.DUMMYFUNCTION("IMPORTRANGE(""https://docs.google.com/spreadsheets/d/1SX6NBoVAgQJ6U1MVXOaj8PK2l7WJ3RER9xtqwdhxkhw/edit?usp=sharing"",""สระบุรี!J488"")"),0.0)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IFERROR(__xludf.DUMMYFUNCTION("IMPORTRANGE(""https://docs.google.com/spreadsheets/d/1SX6NBoVAgQJ6U1MVXOaj8PK2l7WJ3RER9xtqwdhxkhw/edit?usp=sharing"",""สระบุรี!I489"")"),0.0)</f>
        <v>0</v>
      </c>
      <c r="J594" s="222">
        <f>IFERROR(__xludf.DUMMYFUNCTION("IMPORTRANGE(""https://docs.google.com/spreadsheets/d/1SX6NBoVAgQJ6U1MVXOaj8PK2l7WJ3RER9xtqwdhxkhw/edit?usp=sharing"",""สระบุรี!J489"")"),0.0)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IFERROR(__xludf.DUMMYFUNCTION("IMPORTRANGE(""https://docs.google.com/spreadsheets/d/1SX6NBoVAgQJ6U1MVXOaj8PK2l7WJ3RER9xtqwdhxkhw/edit?usp=sharing"",""สระบุรี!I490"")"),500.0)</f>
        <v>500</v>
      </c>
      <c r="J595" s="222">
        <f>IFERROR(__xludf.DUMMYFUNCTION("IMPORTRANGE(""https://docs.google.com/spreadsheets/d/1SX6NBoVAgQJ6U1MVXOaj8PK2l7WJ3RER9xtqwdhxkhw/edit?usp=sharing"",""สระบุรี!J490"")"),0.0)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IFERROR(__xludf.DUMMYFUNCTION("IMPORTRANGE(""https://docs.google.com/spreadsheets/d/1SX6NBoVAgQJ6U1MVXOaj8PK2l7WJ3RER9xtqwdhxkhw/edit?usp=sharing"",""สระบุรี!I491"")"),0.0)</f>
        <v>0</v>
      </c>
      <c r="J596" s="275">
        <f>IFERROR(__xludf.DUMMYFUNCTION("IMPORTRANGE(""https://docs.google.com/spreadsheets/d/1SX6NBoVAgQJ6U1MVXOaj8PK2l7WJ3RER9xtqwdhxkhw/edit?usp=sharing"",""สระบุรี!J491"")"),0.0)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IFERROR(__xludf.DUMMYFUNCTION("IMPORTRANGE(""https://docs.google.com/spreadsheets/d/1SX6NBoVAgQJ6U1MVXOaj8PK2l7WJ3RER9xtqwdhxkhw/edit?usp=sharing"",""สระบุรี!I492"")"),50.0)</f>
        <v>50</v>
      </c>
      <c r="J597" s="520">
        <f>IFERROR(__xludf.DUMMYFUNCTION("IMPORTRANGE(""https://docs.google.com/spreadsheets/d/1SX6NBoVAgQJ6U1MVXOaj8PK2l7WJ3RER9xtqwdhxkhw/edit?usp=sharing"",""สระบุรี!J492"")"),0.0)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IFERROR(__xludf.DUMMYFUNCTION("IMPORTRANGE(""https://docs.google.com/spreadsheets/d/1SX6NBoVAgQJ6U1MVXOaj8PK2l7WJ3RER9xtqwdhxkhw/edit?usp=sharing"",""สระบุรี!L492"")"),4550.0)</f>
        <v>4550</v>
      </c>
      <c r="M597" s="445"/>
      <c r="N597" s="445">
        <f>IFERROR(__xludf.DUMMYFUNCTION("IMPORTRANGE(""https://docs.google.com/spreadsheets/d/1SX6NBoVAgQJ6U1MVXOaj8PK2l7WJ3RER9xtqwdhxkhw/edit?usp=sharing"",""สระบุรี!M492"")"),0.0)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IFERROR(__xludf.DUMMYFUNCTION("IMPORTRANGE(""https://docs.google.com/spreadsheets/d/1SX6NBoVAgQJ6U1MVXOaj8PK2l7WJ3RER9xtqwdhxkhw/edit?usp=sharing"",""สระบุรี!L493"")"),0.0)</f>
        <v>0</v>
      </c>
      <c r="M598" s="197"/>
      <c r="N598" s="203">
        <f>IFERROR(__xludf.DUMMYFUNCTION("IMPORTRANGE(""https://docs.google.com/spreadsheets/d/1SX6NBoVAgQJ6U1MVXOaj8PK2l7WJ3RER9xtqwdhxkhw/edit?usp=sharing"",""สระบุรี!M493"")"),0.0)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IFERROR(__xludf.DUMMYFUNCTION("IMPORTRANGE(""https://docs.google.com/spreadsheets/d/1SX6NBoVAgQJ6U1MVXOaj8PK2l7WJ3RER9xtqwdhxkhw/edit?usp=sharing"",""สระบุรี!L494"")"),4550.0)</f>
        <v>4550</v>
      </c>
      <c r="M599" s="198"/>
      <c r="N599" s="203">
        <f>IFERROR(__xludf.DUMMYFUNCTION("IMPORTRANGE(""https://docs.google.com/spreadsheets/d/1SX6NBoVAgQJ6U1MVXOaj8PK2l7WJ3RER9xtqwdhxkhw/edit?usp=sharing"",""สระบุรี!M494"")"),0.0)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IFERROR(__xludf.DUMMYFUNCTION("IMPORTRANGE(""https://docs.google.com/spreadsheets/d/1SX6NBoVAgQJ6U1MVXOaj8PK2l7WJ3RER9xtqwdhxkhw/edit?usp=sharing"",""สระบุรี!L495"")"),0.0)</f>
        <v>0</v>
      </c>
      <c r="M600" s="203"/>
      <c r="N600" s="203">
        <f>IFERROR(__xludf.DUMMYFUNCTION("IMPORTRANGE(""https://docs.google.com/spreadsheets/d/1SX6NBoVAgQJ6U1MVXOaj8PK2l7WJ3RER9xtqwdhxkhw/edit?usp=sharing"",""สระบุรี!M495"")"),0.0)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IFERROR(__xludf.DUMMYFUNCTION("IMPORTRANGE(""https://docs.google.com/spreadsheets/d/1SX6NBoVAgQJ6U1MVXOaj8PK2l7WJ3RER9xtqwdhxkhw/edit?usp=sharing"",""สระบุรี!L496"")"),4550.0)</f>
        <v>4550</v>
      </c>
      <c r="M601" s="203"/>
      <c r="N601" s="203">
        <f>IFERROR(__xludf.DUMMYFUNCTION("IMPORTRANGE(""https://docs.google.com/spreadsheets/d/1SX6NBoVAgQJ6U1MVXOaj8PK2l7WJ3RER9xtqwdhxkhw/edit?usp=sharing"",""สระบุรี!M496"")"),0.0)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IFERROR(__xludf.DUMMYFUNCTION("IMPORTRANGE(""https://docs.google.com/spreadsheets/d/1SX6NBoVAgQJ6U1MVXOaj8PK2l7WJ3RER9xtqwdhxkhw/edit?usp=sharing"",""สระบุรี!M497"")"),0.0)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IFERROR(__xludf.DUMMYFUNCTION("IMPORTRANGE(""https://docs.google.com/spreadsheets/d/1SX6NBoVAgQJ6U1MVXOaj8PK2l7WJ3RER9xtqwdhxkhw/edit?usp=sharing"",""สระบุรี!M498"")"),0.0)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IFERROR(__xludf.DUMMYFUNCTION("IMPORTRANGE(""https://docs.google.com/spreadsheets/d/1SX6NBoVAgQJ6U1MVXOaj8PK2l7WJ3RER9xtqwdhxkhw/edit?usp=sharing"",""สระบุรี!M499"")"),0.0)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IFERROR(__xludf.DUMMYFUNCTION("IMPORTRANGE(""https://docs.google.com/spreadsheets/d/1SX6NBoVAgQJ6U1MVXOaj8PK2l7WJ3RER9xtqwdhxkhw/edit?usp=sharing"",""สระบุรี!M500"")"),0.0)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IFERROR(__xludf.DUMMYFUNCTION("IMPORTRANGE(""https://docs.google.com/spreadsheets/d/1SX6NBoVAgQJ6U1MVXOaj8PK2l7WJ3RER9xtqwdhxkhw/edit?usp=sharing"",""สระบุรี!J502"")"),0.0)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IFERROR(__xludf.DUMMYFUNCTION("IMPORTRANGE(""https://docs.google.com/spreadsheets/d/1SX6NBoVAgQJ6U1MVXOaj8PK2l7WJ3RER9xtqwdhxkhw/edit?usp=sharing"",""สระบุรี!J503"")"),0.0)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IFERROR(__xludf.DUMMYFUNCTION("IMPORTRANGE(""https://docs.google.com/spreadsheets/d/1SX6NBoVAgQJ6U1MVXOaj8PK2l7WJ3RER9xtqwdhxkhw/edit?usp=sharing"",""สระบุรี!J166"")"),0.0)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IFERROR(__xludf.DUMMYFUNCTION("IMPORTRANGE(""https://docs.google.com/spreadsheets/d/1SX6NBoVAgQJ6U1MVXOaj8PK2l7WJ3RER9xtqwdhxkhw/edit?usp=sharing"",""สระบุรี!J166"")"),0.0)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IFERROR(__xludf.DUMMYFUNCTION("IMPORTRANGE(""https://docs.google.com/spreadsheets/d/1SX6NBoVAgQJ6U1MVXOaj8PK2l7WJ3RER9xtqwdhxkhw/edit?usp=sharing"",""สระบุรี!I506"")"),50.0)</f>
        <v>50</v>
      </c>
      <c r="J611" s="195">
        <f>IFERROR(__xludf.DUMMYFUNCTION("IMPORTRANGE(""https://docs.google.com/spreadsheets/d/1SX6NBoVAgQJ6U1MVXOaj8PK2l7WJ3RER9xtqwdhxkhw/edit?usp=sharing"",""สระบุรี!J506"")"),0.0)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IFERROR(__xludf.DUMMYFUNCTION("IMPORTRANGE(""https://docs.google.com/spreadsheets/d/1SX6NBoVAgQJ6U1MVXOaj8PK2l7WJ3RER9xtqwdhxkhw/edit?usp=sharing"",""สระบุรี!I507"")"),0.0)</f>
        <v>0</v>
      </c>
      <c r="J612" s="232">
        <f>IFERROR(__xludf.DUMMYFUNCTION("IMPORTRANGE(""https://docs.google.com/spreadsheets/d/1SX6NBoVAgQJ6U1MVXOaj8PK2l7WJ3RER9xtqwdhxkhw/edit?usp=sharing"",""สระบุรี!J507"")"),0.0)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IFERROR(__xludf.DUMMYFUNCTION("IMPORTRANGE(""https://docs.google.com/spreadsheets/d/1SX6NBoVAgQJ6U1MVXOaj8PK2l7WJ3RER9xtqwdhxkhw/edit?usp=sharing"",""สระบุรี!I508"")"),0.0)</f>
        <v>0</v>
      </c>
      <c r="J613" s="232">
        <f>IFERROR(__xludf.DUMMYFUNCTION("IMPORTRANGE(""https://docs.google.com/spreadsheets/d/1SX6NBoVAgQJ6U1MVXOaj8PK2l7WJ3RER9xtqwdhxkhw/edit?usp=sharing"",""สระบุรี!J508"")"),0.0)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IFERROR(__xludf.DUMMYFUNCTION("IMPORTRANGE(""https://docs.google.com/spreadsheets/d/1SX6NBoVAgQJ6U1MVXOaj8PK2l7WJ3RER9xtqwdhxkhw/edit?usp=sharing"",""สระบุรี!I509"")"),0.0)</f>
        <v>0</v>
      </c>
      <c r="J614" s="232">
        <f>IFERROR(__xludf.DUMMYFUNCTION("IMPORTRANGE(""https://docs.google.com/spreadsheets/d/1SX6NBoVAgQJ6U1MVXOaj8PK2l7WJ3RER9xtqwdhxkhw/edit?usp=sharing"",""สระบุรี!J509"")"),0.0)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IFERROR(__xludf.DUMMYFUNCTION("IMPORTRANGE(""https://docs.google.com/spreadsheets/d/1SX6NBoVAgQJ6U1MVXOaj8PK2l7WJ3RER9xtqwdhxkhw/edit?usp=sharing"",""สระบุรี!I510"")"),0.0)</f>
        <v>0</v>
      </c>
      <c r="J615" s="232">
        <f>IFERROR(__xludf.DUMMYFUNCTION("IMPORTRANGE(""https://docs.google.com/spreadsheets/d/1SX6NBoVAgQJ6U1MVXOaj8PK2l7WJ3RER9xtqwdhxkhw/edit?usp=sharing"",""สระบุรี!J510"")"),0.0)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IFERROR(__xludf.DUMMYFUNCTION("IMPORTRANGE(""https://docs.google.com/spreadsheets/d/1SX6NBoVAgQJ6U1MVXOaj8PK2l7WJ3RER9xtqwdhxkhw/edit?usp=sharing"",""สระบุรี!I511"")"),0.0)</f>
        <v>0</v>
      </c>
      <c r="J616" s="232">
        <f>IFERROR(__xludf.DUMMYFUNCTION("IMPORTRANGE(""https://docs.google.com/spreadsheets/d/1SX6NBoVAgQJ6U1MVXOaj8PK2l7WJ3RER9xtqwdhxkhw/edit?usp=sharing"",""สระบุรี!J511"")"),0.0)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IFERROR(__xludf.DUMMYFUNCTION("IMPORTRANGE(""https://docs.google.com/spreadsheets/d/1SX6NBoVAgQJ6U1MVXOaj8PK2l7WJ3RER9xtqwdhxkhw/edit?usp=sharing"",""สระบุรี!I512"")"),0.0)</f>
        <v>0</v>
      </c>
      <c r="J617" s="222">
        <f>IFERROR(__xludf.DUMMYFUNCTION("IMPORTRANGE(""https://docs.google.com/spreadsheets/d/1SX6NBoVAgQJ6U1MVXOaj8PK2l7WJ3RER9xtqwdhxkhw/edit?usp=sharing"",""สระบุรี!J512"")"),0.0)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IFERROR(__xludf.DUMMYFUNCTION("IMPORTRANGE(""https://docs.google.com/spreadsheets/d/1SX6NBoVAgQJ6U1MVXOaj8PK2l7WJ3RER9xtqwdhxkhw/edit?usp=sharing"",""สระบุรี!I513"")"),0.0)</f>
        <v>0</v>
      </c>
      <c r="J618" s="223">
        <f>IFERROR(__xludf.DUMMYFUNCTION("IMPORTRANGE(""https://docs.google.com/spreadsheets/d/1SX6NBoVAgQJ6U1MVXOaj8PK2l7WJ3RER9xtqwdhxkhw/edit?usp=sharing"",""สระบุรี!J513"")"),0.0)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IFERROR(__xludf.DUMMYFUNCTION("IMPORTRANGE(""https://docs.google.com/spreadsheets/d/1SX6NBoVAgQJ6U1MVXOaj8PK2l7WJ3RER9xtqwdhxkhw/edit?usp=sharing"",""สระบุรี!I514"")"),0.0)</f>
        <v>0</v>
      </c>
      <c r="J619" s="223">
        <f>IFERROR(__xludf.DUMMYFUNCTION("IMPORTRANGE(""https://docs.google.com/spreadsheets/d/1SX6NBoVAgQJ6U1MVXOaj8PK2l7WJ3RER9xtqwdhxkhw/edit?usp=sharing"",""สระบุรี!J514"")"),0.0)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IFERROR(__xludf.DUMMYFUNCTION("IMPORTRANGE(""https://docs.google.com/spreadsheets/d/1SX6NBoVAgQJ6U1MVXOaj8PK2l7WJ3RER9xtqwdhxkhw/edit?usp=sharing"",""สระบุรี!I515"")"),0.0)</f>
        <v>0</v>
      </c>
      <c r="J620" s="237">
        <f>IFERROR(__xludf.DUMMYFUNCTION("IMPORTRANGE(""https://docs.google.com/spreadsheets/d/1SX6NBoVAgQJ6U1MVXOaj8PK2l7WJ3RER9xtqwdhxkhw/edit?usp=sharing"",""สระบุรี!J515"")"),0.0)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IFERROR(__xludf.DUMMYFUNCTION("IMPORTRANGE(""https://docs.google.com/spreadsheets/d/1SX6NBoVAgQJ6U1MVXOaj8PK2l7WJ3RER9xtqwdhxkhw/edit?usp=sharing"",""สระบุรี!I516"")"),0.0)</f>
        <v>0</v>
      </c>
      <c r="J621" s="237">
        <f>IFERROR(__xludf.DUMMYFUNCTION("IMPORTRANGE(""https://docs.google.com/spreadsheets/d/1SX6NBoVAgQJ6U1MVXOaj8PK2l7WJ3RER9xtqwdhxkhw/edit?usp=sharing"",""สระบุรี!J516"")"),0.0)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IFERROR(__xludf.DUMMYFUNCTION("IMPORTRANGE(""https://docs.google.com/spreadsheets/d/1SX6NBoVAgQJ6U1MVXOaj8PK2l7WJ3RER9xtqwdhxkhw/edit?usp=sharing"",""สระบุรี!I517"")"),0.0)</f>
        <v>0</v>
      </c>
      <c r="J622" s="223">
        <f>IFERROR(__xludf.DUMMYFUNCTION("IMPORTRANGE(""https://docs.google.com/spreadsheets/d/1SX6NBoVAgQJ6U1MVXOaj8PK2l7WJ3RER9xtqwdhxkhw/edit?usp=sharing"",""สระบุรี!J517"")"),0.0)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IFERROR(__xludf.DUMMYFUNCTION("IMPORTRANGE(""https://docs.google.com/spreadsheets/d/1SX6NBoVAgQJ6U1MVXOaj8PK2l7WJ3RER9xtqwdhxkhw/edit?usp=sharing"",""สระบุรี!I518"")"),0.0)</f>
        <v>0</v>
      </c>
      <c r="J623" s="223">
        <f>IFERROR(__xludf.DUMMYFUNCTION("IMPORTRANGE(""https://docs.google.com/spreadsheets/d/1SX6NBoVAgQJ6U1MVXOaj8PK2l7WJ3RER9xtqwdhxkhw/edit?usp=sharing"",""สระบุรี!J518"")"),0.0)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IFERROR(__xludf.DUMMYFUNCTION("IMPORTRANGE(""https://docs.google.com/spreadsheets/d/1SX6NBoVAgQJ6U1MVXOaj8PK2l7WJ3RER9xtqwdhxkhw/edit?usp=sharing"",""สระบุรี!I519"")"),0.0)</f>
        <v>0</v>
      </c>
      <c r="J624" s="222">
        <f>IFERROR(__xludf.DUMMYFUNCTION("IMPORTRANGE(""https://docs.google.com/spreadsheets/d/1SX6NBoVAgQJ6U1MVXOaj8PK2l7WJ3RER9xtqwdhxkhw/edit?usp=sharing"",""สระบุรี!J519"")"),0.0)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IFERROR(__xludf.DUMMYFUNCTION("IMPORTRANGE(""https://docs.google.com/spreadsheets/d/1SX6NBoVAgQJ6U1MVXOaj8PK2l7WJ3RER9xtqwdhxkhw/edit?usp=sharing"",""สระบุรี!I520"")"),0.0)</f>
        <v>0</v>
      </c>
      <c r="J625" s="223">
        <f>IFERROR(__xludf.DUMMYFUNCTION("IMPORTRANGE(""https://docs.google.com/spreadsheets/d/1SX6NBoVAgQJ6U1MVXOaj8PK2l7WJ3RER9xtqwdhxkhw/edit?usp=sharing"",""สระบุรี!J520"")"),0.0)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IFERROR(__xludf.DUMMYFUNCTION("IMPORTRANGE(""https://docs.google.com/spreadsheets/d/1SX6NBoVAgQJ6U1MVXOaj8PK2l7WJ3RER9xtqwdhxkhw/edit?usp=sharing"",""สระบุรี!I521"")"),0.0)</f>
        <v>0</v>
      </c>
      <c r="J626" s="223">
        <f>IFERROR(__xludf.DUMMYFUNCTION("IMPORTRANGE(""https://docs.google.com/spreadsheets/d/1SX6NBoVAgQJ6U1MVXOaj8PK2l7WJ3RER9xtqwdhxkhw/edit?usp=sharing"",""สระบุรี!J521"")"),0.0)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IFERROR(__xludf.DUMMYFUNCTION("IMPORTRANGE(""https://docs.google.com/spreadsheets/d/1SX6NBoVAgQJ6U1MVXOaj8PK2l7WJ3RER9xtqwdhxkhw/edit?usp=sharing"",""สระบุรี!I523"")"),2448689.05)</f>
        <v>2448689.05</v>
      </c>
      <c r="J628" s="374">
        <f>IFERROR(__xludf.DUMMYFUNCTION("IMPORTRANGE(""https://docs.google.com/spreadsheets/d/1SX6NBoVAgQJ6U1MVXOaj8PK2l7WJ3RER9xtqwdhxkhw/edit?usp=sharing"",""สระบุรี!J523"")"),91594.52)</f>
        <v>91594.52</v>
      </c>
      <c r="K628" s="375">
        <f t="shared" ref="K628:K635" si="130">IF(I628&gt;0,J628*100/I628,0)</f>
        <v>3.740553338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IFERROR(__xludf.DUMMYFUNCTION("IMPORTRANGE(""https://docs.google.com/spreadsheets/d/1SX6NBoVAgQJ6U1MVXOaj8PK2l7WJ3RER9xtqwdhxkhw/edit?usp=sharing"",""สระบุรี!I524"")"),168.0)</f>
        <v>168</v>
      </c>
      <c r="J629" s="374">
        <f>IFERROR(__xludf.DUMMYFUNCTION("IMPORTRANGE(""https://docs.google.com/spreadsheets/d/1SX6NBoVAgQJ6U1MVXOaj8PK2l7WJ3RER9xtqwdhxkhw/edit?usp=sharing"",""สระบุรี!J524"")"),9.0)</f>
        <v>9</v>
      </c>
      <c r="K629" s="375">
        <f t="shared" si="130"/>
        <v>5.357142857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IFERROR(__xludf.DUMMYFUNCTION("IMPORTRANGE(""https://docs.google.com/spreadsheets/d/1SX6NBoVAgQJ6U1MVXOaj8PK2l7WJ3RER9xtqwdhxkhw/edit?usp=sharing"",""สระบุรี!I525"")"),1.702002908E7)</f>
        <v>17020029.08</v>
      </c>
      <c r="J630" s="374">
        <f>IFERROR(__xludf.DUMMYFUNCTION("IMPORTRANGE(""https://docs.google.com/spreadsheets/d/1SX6NBoVAgQJ6U1MVXOaj8PK2l7WJ3RER9xtqwdhxkhw/edit?usp=sharing"",""สระบุรี!J525"")"),479156.36)</f>
        <v>479156.36</v>
      </c>
      <c r="K630" s="375">
        <f t="shared" si="130"/>
        <v>2.815249949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IFERROR(__xludf.DUMMYFUNCTION("IMPORTRANGE(""https://docs.google.com/spreadsheets/d/1SX6NBoVAgQJ6U1MVXOaj8PK2l7WJ3RER9xtqwdhxkhw/edit?usp=sharing"",""สระบุรี!I526"")"),253.0)</f>
        <v>253</v>
      </c>
      <c r="J631" s="374">
        <f>IFERROR(__xludf.DUMMYFUNCTION("IMPORTRANGE(""https://docs.google.com/spreadsheets/d/1SX6NBoVAgQJ6U1MVXOaj8PK2l7WJ3RER9xtqwdhxkhw/edit?usp=sharing"",""สระบุรี!J526"")"),52.0)</f>
        <v>52</v>
      </c>
      <c r="K631" s="375">
        <f t="shared" si="130"/>
        <v>20.55335968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IFERROR(__xludf.DUMMYFUNCTION("IMPORTRANGE(""https://docs.google.com/spreadsheets/d/1SX6NBoVAgQJ6U1MVXOaj8PK2l7WJ3RER9xtqwdhxkhw/edit?usp=sharing"",""สระบุรี!I527"")"),2463547.53)</f>
        <v>2463547.53</v>
      </c>
      <c r="J632" s="374">
        <f>IFERROR(__xludf.DUMMYFUNCTION("IMPORTRANGE(""https://docs.google.com/spreadsheets/d/1SX6NBoVAgQJ6U1MVXOaj8PK2l7WJ3RER9xtqwdhxkhw/edit?usp=sharing"",""สระบุรี!J527"")"),35896.75)</f>
        <v>35896.75</v>
      </c>
      <c r="K632" s="375">
        <f t="shared" si="130"/>
        <v>1.457116194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IFERROR(__xludf.DUMMYFUNCTION("IMPORTRANGE(""https://docs.google.com/spreadsheets/d/1SX6NBoVAgQJ6U1MVXOaj8PK2l7WJ3RER9xtqwdhxkhw/edit?usp=sharing"",""สระบุรี!I528"")"),90.0)</f>
        <v>90</v>
      </c>
      <c r="J633" s="374">
        <f>IFERROR(__xludf.DUMMYFUNCTION("IMPORTRANGE(""https://docs.google.com/spreadsheets/d/1SX6NBoVAgQJ6U1MVXOaj8PK2l7WJ3RER9xtqwdhxkhw/edit?usp=sharing"",""สระบุรี!J528"")"),5.0)</f>
        <v>5</v>
      </c>
      <c r="K633" s="375">
        <f t="shared" si="130"/>
        <v>5.555555556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IFERROR(__xludf.DUMMYFUNCTION("IMPORTRANGE(""https://docs.google.com/spreadsheets/d/1SX6NBoVAgQJ6U1MVXOaj8PK2l7WJ3RER9xtqwdhxkhw/edit?usp=sharing"",""สระบุรี!I529"")"),5265000.0)</f>
        <v>5265000</v>
      </c>
      <c r="J634" s="374">
        <f>IFERROR(__xludf.DUMMYFUNCTION("IMPORTRANGE(""https://docs.google.com/spreadsheets/d/1SX6NBoVAgQJ6U1MVXOaj8PK2l7WJ3RER9xtqwdhxkhw/edit?usp=sharing"",""สระบุรี!J529"")"),0.0)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IFERROR(__xludf.DUMMYFUNCTION("IMPORTRANGE(""https://docs.google.com/spreadsheets/d/1SX6NBoVAgQJ6U1MVXOaj8PK2l7WJ3RER9xtqwdhxkhw/edit?usp=sharing"",""สระบุรี!I530"")"),134.0)</f>
        <v>134</v>
      </c>
      <c r="J635" s="544">
        <f>IFERROR(__xludf.DUMMYFUNCTION("IMPORTRANGE(""https://docs.google.com/spreadsheets/d/1SX6NBoVAgQJ6U1MVXOaj8PK2l7WJ3RER9xtqwdhxkhw/edit?usp=sharing"",""สระบุรี!J530"")"),0.0)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239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7532048</v>
      </c>
      <c r="M8" s="41">
        <f t="shared" si="1"/>
        <v>2195514</v>
      </c>
      <c r="N8" s="41">
        <f t="shared" si="1"/>
        <v>1787306.79</v>
      </c>
      <c r="O8" s="40">
        <f t="shared" ref="O8:O16" si="3">IF(L8&gt;0,N8*100/L8,0)</f>
        <v>23.72936006</v>
      </c>
      <c r="P8" s="40">
        <f t="shared" ref="P8:P16" si="4">IF(M8&gt;0,N8*100/M8,0)</f>
        <v>81.40721444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7532048</v>
      </c>
      <c r="M10" s="48">
        <f t="shared" si="5"/>
        <v>2195514</v>
      </c>
      <c r="N10" s="48">
        <f t="shared" si="5"/>
        <v>1787306.79</v>
      </c>
      <c r="O10" s="47">
        <f t="shared" si="3"/>
        <v>23.72936006</v>
      </c>
      <c r="P10" s="47">
        <f t="shared" si="4"/>
        <v>81.40721444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7128748</v>
      </c>
      <c r="M12" s="58">
        <f t="shared" si="7"/>
        <v>2195514</v>
      </c>
      <c r="N12" s="58">
        <f t="shared" si="7"/>
        <v>1568806.79</v>
      </c>
      <c r="O12" s="58">
        <f t="shared" si="3"/>
        <v>22.00676458</v>
      </c>
      <c r="P12" s="58">
        <f t="shared" si="4"/>
        <v>71.455103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2470000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4658748</v>
      </c>
      <c r="M14" s="58">
        <f t="shared" si="9"/>
        <v>0</v>
      </c>
      <c r="N14" s="58">
        <f t="shared" si="9"/>
        <v>478003.79</v>
      </c>
      <c r="O14" s="61">
        <f t="shared" si="3"/>
        <v>10.2603487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403300</v>
      </c>
      <c r="M16" s="58">
        <f t="shared" si="11"/>
        <v>0</v>
      </c>
      <c r="N16" s="58">
        <f t="shared" si="11"/>
        <v>218500</v>
      </c>
      <c r="O16" s="70">
        <f t="shared" si="3"/>
        <v>54.17803124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4389410</v>
      </c>
      <c r="M18" s="41">
        <f t="shared" si="12"/>
        <v>2195514</v>
      </c>
      <c r="N18" s="41">
        <f t="shared" si="12"/>
        <v>1309303</v>
      </c>
      <c r="O18" s="40">
        <f t="shared" ref="O18:O20" si="14">IF(L18&gt;0,N18*100/L18,0)</f>
        <v>29.82867857</v>
      </c>
      <c r="P18" s="40">
        <f t="shared" ref="P18:P26" si="15">IF(M18&gt;0,N18*100/M18,0)</f>
        <v>59.63537468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4389410</v>
      </c>
      <c r="M20" s="48">
        <f t="shared" si="16"/>
        <v>2195514</v>
      </c>
      <c r="N20" s="48">
        <f t="shared" si="16"/>
        <v>1309303</v>
      </c>
      <c r="O20" s="47">
        <f t="shared" si="14"/>
        <v>29.82867857</v>
      </c>
      <c r="P20" s="47">
        <f t="shared" si="15"/>
        <v>59.63537468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3986110</v>
      </c>
      <c r="M22" s="62">
        <f t="shared" si="18"/>
        <v>2195514</v>
      </c>
      <c r="N22" s="61">
        <f t="shared" si="18"/>
        <v>1090803</v>
      </c>
      <c r="O22" s="61">
        <f t="shared" si="19"/>
        <v>27.36510031</v>
      </c>
      <c r="P22" s="61">
        <f t="shared" si="15"/>
        <v>49.68326324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2470000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1516110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403300</v>
      </c>
      <c r="M26" s="70">
        <f t="shared" si="23"/>
        <v>0</v>
      </c>
      <c r="N26" s="70">
        <f t="shared" si="23"/>
        <v>218500</v>
      </c>
      <c r="O26" s="70">
        <f t="shared" si="19"/>
        <v>54.17803124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3142638</v>
      </c>
      <c r="M28" s="41">
        <f t="shared" si="24"/>
        <v>0</v>
      </c>
      <c r="N28" s="41">
        <f t="shared" si="24"/>
        <v>478003.79</v>
      </c>
      <c r="O28" s="40">
        <f t="shared" ref="O28:O30" si="26">IF(L28&gt;0,N28*100/L28,0)</f>
        <v>15.21027207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3142638</v>
      </c>
      <c r="M30" s="48">
        <f t="shared" si="28"/>
        <v>0</v>
      </c>
      <c r="N30" s="48">
        <f t="shared" si="28"/>
        <v>478003.79</v>
      </c>
      <c r="O30" s="47">
        <f t="shared" si="26"/>
        <v>15.21027207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3142638</v>
      </c>
      <c r="M32" s="61">
        <f t="shared" si="30"/>
        <v>0</v>
      </c>
      <c r="N32" s="61">
        <f t="shared" si="30"/>
        <v>478003.79</v>
      </c>
      <c r="O32" s="61">
        <f t="shared" si="31"/>
        <v>15.21027207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3142638</v>
      </c>
      <c r="M34" s="61">
        <f t="shared" si="33"/>
        <v>0</v>
      </c>
      <c r="N34" s="61">
        <f t="shared" si="33"/>
        <v>478003.79</v>
      </c>
      <c r="O34" s="61">
        <f t="shared" si="31"/>
        <v>15.21027207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4389410</v>
      </c>
      <c r="M37" s="75">
        <f t="shared" si="34"/>
        <v>2195514</v>
      </c>
      <c r="N37" s="75">
        <f t="shared" si="34"/>
        <v>1309303</v>
      </c>
      <c r="O37" s="76">
        <f t="shared" si="31"/>
        <v>29.82867857</v>
      </c>
      <c r="P37" s="76">
        <f t="shared" si="27"/>
        <v>59.63537468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1085100</v>
      </c>
      <c r="M41" s="102">
        <f t="shared" si="35"/>
        <v>534600</v>
      </c>
      <c r="N41" s="102">
        <f t="shared" si="35"/>
        <v>441982</v>
      </c>
      <c r="O41" s="101">
        <f t="shared" ref="O41:O43" si="37">IF(L41&gt;0,N41*100/L41,0)</f>
        <v>40.73191411</v>
      </c>
      <c r="P41" s="101">
        <f t="shared" ref="P41:P43" si="38">IF(M41&gt;0,N41*100/M41,0)</f>
        <v>82.67527123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1085100</v>
      </c>
      <c r="M43" s="102">
        <f t="shared" si="39"/>
        <v>534600</v>
      </c>
      <c r="N43" s="102">
        <f t="shared" si="39"/>
        <v>441982</v>
      </c>
      <c r="O43" s="101">
        <f t="shared" si="37"/>
        <v>40.73191411</v>
      </c>
      <c r="P43" s="101">
        <f t="shared" si="38"/>
        <v>82.67527123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989100</v>
      </c>
      <c r="M45" s="115">
        <f>IFERROR(__xludf.DUMMYFUNCTION("IMPORTRANGE(""https://docs.google.com/spreadsheets/d/1Yj_ptqi66GCucihVvJfMjLAmec39IyEx_6qawtMGysU/edit?usp=sharing"",""สบก!Q59"")"),534600.0)</f>
        <v>534600</v>
      </c>
      <c r="N45" s="115">
        <f>IFERROR(__xludf.DUMMYFUNCTION("IMPORTRANGE(""https://docs.google.com/spreadsheets/d/1Yj_ptqi66GCucihVvJfMjLAmec39IyEx_6qawtMGysU/edit?usp=sharing"",""สบก!R59"")"),345982.0)</f>
        <v>345982</v>
      </c>
      <c r="O45" s="116">
        <f>IF(L45&gt;0,N45*100/L45,0)</f>
        <v>34.97947629</v>
      </c>
      <c r="P45" s="116">
        <f>IF(M45&gt;0,N45*100/M45,0)</f>
        <v>64.71791994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IFERROR(__xludf.DUMMYFUNCTION("IMPORTRANGE(""https://docs.google.com/spreadsheets/d/1Yj_ptqi66GCucihVvJfMjLAmec39IyEx_6qawtMGysU/edit?usp=sharing"",""สบก!M59"")"),989100.0)</f>
        <v>989100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IFERROR(__xludf.DUMMYFUNCTION("IMPORTRANGE(""https://docs.google.com/spreadsheets/d/1Yj_ptqi66GCucihVvJfMjLAmec39IyEx_6qawtMGysU/edit?usp=sharing"",""สบก!N59"")"),0.0)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IFERROR(__xludf.DUMMYFUNCTION("IMPORTRANGE(""https://docs.google.com/spreadsheets/d/1Yj_ptqi66GCucihVvJfMjLAmec39IyEx_6qawtMGysU/edit?usp=sharing"",""สบก!O59"")"),96000.0)</f>
        <v>96000</v>
      </c>
      <c r="M49" s="125"/>
      <c r="N49" s="115">
        <f>IFERROR(__xludf.DUMMYFUNCTION("IMPORTRANGE(""https://docs.google.com/spreadsheets/d/1Yj_ptqi66GCucihVvJfMjLAmec39IyEx_6qawtMGysU/edit?usp=sharing"",""สบก!S59"")"),96000.0)</f>
        <v>96000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487000</v>
      </c>
      <c r="M53" s="151">
        <f t="shared" si="40"/>
        <v>260984</v>
      </c>
      <c r="N53" s="151">
        <f t="shared" si="40"/>
        <v>149555</v>
      </c>
      <c r="O53" s="150">
        <f t="shared" ref="O53:O55" si="42">IF(L53&gt;0,N53*100/L53,0)</f>
        <v>30.70944559</v>
      </c>
      <c r="P53" s="150">
        <f t="shared" ref="P53:P55" si="43">IF(M53&gt;0,N53*100/M53,0)</f>
        <v>57.30427919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487000</v>
      </c>
      <c r="M55" s="151">
        <f t="shared" si="44"/>
        <v>260984</v>
      </c>
      <c r="N55" s="151">
        <f t="shared" si="44"/>
        <v>149555</v>
      </c>
      <c r="O55" s="150">
        <f t="shared" si="42"/>
        <v>30.70944559</v>
      </c>
      <c r="P55" s="150">
        <f t="shared" si="43"/>
        <v>57.30427919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487000</v>
      </c>
      <c r="M57" s="115">
        <f>IFERROR(__xludf.DUMMYFUNCTION("IMPORTRANGE(""https://docs.google.com/spreadsheets/d/1Yj_ptqi66GCucihVvJfMjLAmec39IyEx_6qawtMGysU/edit?usp=sharing"",""สบก!Z59"")"),260984.0)</f>
        <v>260984</v>
      </c>
      <c r="N57" s="115">
        <f>IFERROR(__xludf.DUMMYFUNCTION("IMPORTRANGE(""https://docs.google.com/spreadsheets/d/1Yj_ptqi66GCucihVvJfMjLAmec39IyEx_6qawtMGysU/edit?usp=sharing"",""สบก!AA59"")"),149555.0)</f>
        <v>149555</v>
      </c>
      <c r="O57" s="116">
        <f>IF(L57&gt;0,N57*100/L57,0)</f>
        <v>30.70944559</v>
      </c>
      <c r="P57" s="116">
        <f>IF(M57&gt;0,N57*100/M57,0)</f>
        <v>57.30427919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IFERROR(__xludf.DUMMYFUNCTION("IMPORTRANGE(""https://docs.google.com/spreadsheets/d/1Yj_ptqi66GCucihVvJfMjLAmec39IyEx_6qawtMGysU/edit?usp=sharing"",""สบก!V59"")"),487000.0)</f>
        <v>487000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IFERROR(__xludf.DUMMYFUNCTION("IMPORTRANGE(""https://docs.google.com/spreadsheets/d/1Yj_ptqi66GCucihVvJfMjLAmec39IyEx_6qawtMGysU/edit?usp=sharing"",""สบก!W59"")"),0.0)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IFERROR(__xludf.DUMMYFUNCTION("IMPORTRANGE(""https://docs.google.com/spreadsheets/d/1Yj_ptqi66GCucihVvJfMjLAmec39IyEx_6qawtMGysU/edit?usp=sharing"",""สบก!X59"")"),0.0)</f>
        <v>0</v>
      </c>
      <c r="M61" s="125"/>
      <c r="N61" s="115">
        <f>IFERROR(__xludf.DUMMYFUNCTION("IMPORTRANGE(""https://docs.google.com/spreadsheets/d/1Yj_ptqi66GCucihVvJfMjLAmec39IyEx_6qawtMGysU/edit?usp=sharing"",""สบก!AB59"")"),0.0)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IFERROR(__xludf.DUMMYFUNCTION("IMPORTRANGE(""https://docs.google.com/spreadsheets/d/1SX6NBoVAgQJ6U1MVXOaj8PK2l7WJ3RER9xtqwdhxkhw/edit?usp=sharing"",""กาญจนบุรี!I9"")"),0.0)</f>
        <v>0</v>
      </c>
      <c r="J64" s="172">
        <f>IFERROR(__xludf.DUMMYFUNCTION("IMPORTRANGE(""https://docs.google.com/spreadsheets/d/1SX6NBoVAgQJ6U1MVXOaj8PK2l7WJ3RER9xtqwdhxkhw/edit?usp=sharing"",""กาญจนบุรี!J9"")"),0.0)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IFERROR(__xludf.DUMMYFUNCTION("IMPORTRANGE(""https://docs.google.com/spreadsheets/d/1SX6NBoVAgQJ6U1MVXOaj8PK2l7WJ3RER9xtqwdhxkhw/edit?usp=sharing"",""กาญจนบุรี!I10"")"),0.0)</f>
        <v>0</v>
      </c>
      <c r="J65" s="172">
        <f>IFERROR(__xludf.DUMMYFUNCTION("IMPORTRANGE(""https://docs.google.com/spreadsheets/d/1SX6NBoVAgQJ6U1MVXOaj8PK2l7WJ3RER9xtqwdhxkhw/edit?usp=sharing"",""กาญจนบุรี!J10"")"),0.0)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IFERROR(__xludf.DUMMYFUNCTION("IMPORTRANGE(""https://docs.google.com/spreadsheets/d/1Yj_ptqi66GCucihVvJfMjLAmec39IyEx_6qawtMGysU/edit?usp=sharing"",""สบก!AI59"")"),0.0)</f>
        <v>0</v>
      </c>
      <c r="N70" s="202">
        <f>IFERROR(__xludf.DUMMYFUNCTION("IMPORTRANGE(""https://docs.google.com/spreadsheets/d/1Yj_ptqi66GCucihVvJfMjLAmec39IyEx_6qawtMGysU/edit?usp=sharing"",""สบก!AJ59"")"),0.0)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IFERROR(__xludf.DUMMYFUNCTION("IMPORTRANGE(""https://docs.google.com/spreadsheets/d/1Yj_ptqi66GCucihVvJfMjLAmec39IyEx_6qawtMGysU/edit?usp=sharing"",""สบก!AE59"")"),0.0)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IFERROR(__xludf.DUMMYFUNCTION("IMPORTRANGE(""https://docs.google.com/spreadsheets/d/1Yj_ptqi66GCucihVvJfMjLAmec39IyEx_6qawtMGysU/edit?usp=sharing"",""สบก!AF59"")"),0.0)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IFERROR(__xludf.DUMMYFUNCTION("IMPORTRANGE(""https://docs.google.com/spreadsheets/d/1Yj_ptqi66GCucihVvJfMjLAmec39IyEx_6qawtMGysU/edit?usp=sharing"",""สบก!AG59"")"),0.0)</f>
        <v>0</v>
      </c>
      <c r="M74" s="125"/>
      <c r="N74" s="115">
        <f>IFERROR(__xludf.DUMMYFUNCTION("IMPORTRANGE(""https://docs.google.com/spreadsheets/d/1Yj_ptqi66GCucihVvJfMjLAmec39IyEx_6qawtMGysU/edit?usp=sharing"",""สบก!AK59"")"),0.0)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IFERROR(__xludf.DUMMYFUNCTION("IMPORTRANGE(""https://docs.google.com/spreadsheets/d/1SX6NBoVAgQJ6U1MVXOaj8PK2l7WJ3RER9xtqwdhxkhw/edit?usp=sharing"",""กาญจนบุรี!J16"")"),0.0)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IFERROR(__xludf.DUMMYFUNCTION("IMPORTRANGE(""https://docs.google.com/spreadsheets/d/1SX6NBoVAgQJ6U1MVXOaj8PK2l7WJ3RER9xtqwdhxkhw/edit?usp=sharing"",""กาญจนบุรี!J17"")"),0.0)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IFERROR(__xludf.DUMMYFUNCTION("IMPORTRANGE(""https://docs.google.com/spreadsheets/d/1SX6NBoVAgQJ6U1MVXOaj8PK2l7WJ3RER9xtqwdhxkhw/edit?usp=sharing"",""กาญจนบุรี!J18"")"),0.0)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IFERROR(__xludf.DUMMYFUNCTION("IMPORTRANGE(""https://docs.google.com/spreadsheets/d/1SX6NBoVAgQJ6U1MVXOaj8PK2l7WJ3RER9xtqwdhxkhw/edit?usp=sharing"",""กาญจนบุรี!J19"")"),0.0)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IFERROR(__xludf.DUMMYFUNCTION("IMPORTRANGE(""https://docs.google.com/spreadsheets/d/1SX6NBoVAgQJ6U1MVXOaj8PK2l7WJ3RER9xtqwdhxkhw/edit?usp=sharing"",""กาญจนบุรี!I20"")"),0.0)</f>
        <v>0</v>
      </c>
      <c r="J80" s="235">
        <f>IFERROR(__xludf.DUMMYFUNCTION("IMPORTRANGE(""https://docs.google.com/spreadsheets/d/1SX6NBoVAgQJ6U1MVXOaj8PK2l7WJ3RER9xtqwdhxkhw/edit?usp=sharing"",""กาญจนบุรี!J20"")"),0.0)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IFERROR(__xludf.DUMMYFUNCTION("IMPORTRANGE(""https://docs.google.com/spreadsheets/d/1SX6NBoVAgQJ6U1MVXOaj8PK2l7WJ3RER9xtqwdhxkhw/edit?usp=sharing"",""กาญจนบุรี!I21"")"),0.0)</f>
        <v>0</v>
      </c>
      <c r="J81" s="235">
        <f>IFERROR(__xludf.DUMMYFUNCTION("IMPORTRANGE(""https://docs.google.com/spreadsheets/d/1SX6NBoVAgQJ6U1MVXOaj8PK2l7WJ3RER9xtqwdhxkhw/edit?usp=sharing"",""กาญจนบุรี!J21"")"),0.0)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IFERROR(__xludf.DUMMYFUNCTION("IMPORTRANGE(""https://docs.google.com/spreadsheets/d/1SX6NBoVAgQJ6U1MVXOaj8PK2l7WJ3RER9xtqwdhxkhw/edit?usp=sharing"",""กาญจนบุรี!I22"")"),0.0)</f>
        <v>0</v>
      </c>
      <c r="J82" s="238">
        <f>IFERROR(__xludf.DUMMYFUNCTION("IMPORTRANGE(""https://docs.google.com/spreadsheets/d/1SX6NBoVAgQJ6U1MVXOaj8PK2l7WJ3RER9xtqwdhxkhw/edit?usp=sharing"",""กาญจนบุรี!J22"")"),0.0)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IFERROR(__xludf.DUMMYFUNCTION("IMPORTRANGE(""https://docs.google.com/spreadsheets/d/1SX6NBoVAgQJ6U1MVXOaj8PK2l7WJ3RER9xtqwdhxkhw/edit?usp=sharing"",""กาญจนบุรี!I23"")"),0.0)</f>
        <v>0</v>
      </c>
      <c r="J83" s="238">
        <f>IFERROR(__xludf.DUMMYFUNCTION("IMPORTRANGE(""https://docs.google.com/spreadsheets/d/1SX6NBoVAgQJ6U1MVXOaj8PK2l7WJ3RER9xtqwdhxkhw/edit?usp=sharing"",""กาญจนบุรี!J23"")"),0.0)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IFERROR(__xludf.DUMMYFUNCTION("IMPORTRANGE(""https://docs.google.com/spreadsheets/d/1SX6NBoVAgQJ6U1MVXOaj8PK2l7WJ3RER9xtqwdhxkhw/edit?usp=sharing"",""กาญจนบุรี!I24"")"),0.0)</f>
        <v>0</v>
      </c>
      <c r="J84" s="223">
        <f>IFERROR(__xludf.DUMMYFUNCTION("IMPORTRANGE(""https://docs.google.com/spreadsheets/d/1SX6NBoVAgQJ6U1MVXOaj8PK2l7WJ3RER9xtqwdhxkhw/edit?usp=sharing"",""กาญจนบุรี!J24"")"),0.0)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IFERROR(__xludf.DUMMYFUNCTION("IMPORTRANGE(""https://docs.google.com/spreadsheets/d/1SX6NBoVAgQJ6U1MVXOaj8PK2l7WJ3RER9xtqwdhxkhw/edit?usp=sharing"",""กาญจนบุรี!I25"")"),0.0)</f>
        <v>0</v>
      </c>
      <c r="J85" s="223">
        <f>IFERROR(__xludf.DUMMYFUNCTION("IMPORTRANGE(""https://docs.google.com/spreadsheets/d/1SX6NBoVAgQJ6U1MVXOaj8PK2l7WJ3RER9xtqwdhxkhw/edit?usp=sharing"",""กาญจนบุรี!J25"")"),0.0)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IFERROR(__xludf.DUMMYFUNCTION("IMPORTRANGE(""https://docs.google.com/spreadsheets/d/1SX6NBoVAgQJ6U1MVXOaj8PK2l7WJ3RER9xtqwdhxkhw/edit?usp=sharing"",""กาญจนบุรี!I26"")"),0.0)</f>
        <v>0</v>
      </c>
      <c r="J86" s="238">
        <f>IFERROR(__xludf.DUMMYFUNCTION("IMPORTRANGE(""https://docs.google.com/spreadsheets/d/1SX6NBoVAgQJ6U1MVXOaj8PK2l7WJ3RER9xtqwdhxkhw/edit?usp=sharing"",""กาญจนบุรี!J26"")"),0.0)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IFERROR(__xludf.DUMMYFUNCTION("IMPORTRANGE(""https://docs.google.com/spreadsheets/d/1SX6NBoVAgQJ6U1MVXOaj8PK2l7WJ3RER9xtqwdhxkhw/edit?usp=sharing"",""กาญจนบุรี!I27"")"),0.0)</f>
        <v>0</v>
      </c>
      <c r="J87" s="238">
        <f>IFERROR(__xludf.DUMMYFUNCTION("IMPORTRANGE(""https://docs.google.com/spreadsheets/d/1SX6NBoVAgQJ6U1MVXOaj8PK2l7WJ3RER9xtqwdhxkhw/edit?usp=sharing"",""กาญจนบุรี!J27"")"),0.0)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IFERROR(__xludf.DUMMYFUNCTION("IMPORTRANGE(""https://docs.google.com/spreadsheets/d/1SX6NBoVAgQJ6U1MVXOaj8PK2l7WJ3RER9xtqwdhxkhw/edit?usp=sharing"",""กาญจนบุรี!I28"")"),0.0)</f>
        <v>0</v>
      </c>
      <c r="J88" s="238">
        <f>IFERROR(__xludf.DUMMYFUNCTION("IMPORTRANGE(""https://docs.google.com/spreadsheets/d/1SX6NBoVAgQJ6U1MVXOaj8PK2l7WJ3RER9xtqwdhxkhw/edit?usp=sharing"",""กาญจนบุรี!J28"")"),0.0)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IFERROR(__xludf.DUMMYFUNCTION("IMPORTRANGE(""https://docs.google.com/spreadsheets/d/1SX6NBoVAgQJ6U1MVXOaj8PK2l7WJ3RER9xtqwdhxkhw/edit?usp=sharing"",""กาญจนบุรี!J29"")"),0.0)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IFERROR(__xludf.DUMMYFUNCTION("IMPORTRANGE(""https://docs.google.com/spreadsheets/d/1SX6NBoVAgQJ6U1MVXOaj8PK2l7WJ3RER9xtqwdhxkhw/edit?usp=sharing"",""กาญจนบุรี!J30"")"),0.0)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IFERROR(__xludf.DUMMYFUNCTION("IMPORTRANGE(""https://docs.google.com/spreadsheets/d/1SX6NBoVAgQJ6U1MVXOaj8PK2l7WJ3RER9xtqwdhxkhw/edit?usp=sharing"",""กาญจนบุรี!I32"")"),7.0)</f>
        <v>7</v>
      </c>
      <c r="J92" s="172">
        <f>IFERROR(__xludf.DUMMYFUNCTION("IMPORTRANGE(""https://docs.google.com/spreadsheets/d/1SX6NBoVAgQJ6U1MVXOaj8PK2l7WJ3RER9xtqwdhxkhw/edit?usp=sharing"",""กาญจนบุรี!J32"")"),0.0)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IFERROR(__xludf.DUMMYFUNCTION("IMPORTRANGE(""https://docs.google.com/spreadsheets/d/1SX6NBoVAgQJ6U1MVXOaj8PK2l7WJ3RER9xtqwdhxkhw/edit?usp=sharing"",""กาญจนบุรี!I33"")"),2.0)</f>
        <v>2</v>
      </c>
      <c r="J93" s="172">
        <f>IFERROR(__xludf.DUMMYFUNCTION("IMPORTRANGE(""https://docs.google.com/spreadsheets/d/1SX6NBoVAgQJ6U1MVXOaj8PK2l7WJ3RER9xtqwdhxkhw/edit?usp=sharing"",""กาญจนบุรี!J33"")"),0.0)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318960</v>
      </c>
      <c r="M94" s="183">
        <f t="shared" si="53"/>
        <v>80790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318960</v>
      </c>
      <c r="M96" s="188">
        <f t="shared" si="57"/>
        <v>80790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134160</v>
      </c>
      <c r="M98" s="201">
        <f>IFERROR(__xludf.DUMMYFUNCTION("IMPORTRANGE(""https://docs.google.com/spreadsheets/d/1Yj_ptqi66GCucihVvJfMjLAmec39IyEx_6qawtMGysU/edit?usp=sharing"",""สบก!AR59"")"),80790.0)</f>
        <v>80790</v>
      </c>
      <c r="N98" s="202">
        <f>IFERROR(__xludf.DUMMYFUNCTION("IMPORTRANGE(""https://docs.google.com/spreadsheets/d/1Yj_ptqi66GCucihVvJfMjLAmec39IyEx_6qawtMGysU/edit?usp=sharing"",""สบก!AS59"")"),0.0)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IFERROR(__xludf.DUMMYFUNCTION("IMPORTRANGE(""https://docs.google.com/spreadsheets/d/1Yj_ptqi66GCucihVvJfMjLAmec39IyEx_6qawtMGysU/edit?usp=sharing"",""สบก!AN59"")"),0.0)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IFERROR(__xludf.DUMMYFUNCTION("IMPORTRANGE(""https://docs.google.com/spreadsheets/d/1Yj_ptqi66GCucihVvJfMjLAmec39IyEx_6qawtMGysU/edit?usp=sharing"",""สบก!AO59"")"),134160.0)</f>
        <v>134160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IFERROR(__xludf.DUMMYFUNCTION("IMPORTRANGE(""https://docs.google.com/spreadsheets/d/1Yj_ptqi66GCucihVvJfMjLAmec39IyEx_6qawtMGysU/edit?usp=sharing"",""สบก!AP59"")"),184800.0)</f>
        <v>184800</v>
      </c>
      <c r="M102" s="125"/>
      <c r="N102" s="115">
        <f>IFERROR(__xludf.DUMMYFUNCTION("IMPORTRANGE(""https://docs.google.com/spreadsheets/d/1Yj_ptqi66GCucihVvJfMjLAmec39IyEx_6qawtMGysU/edit?usp=sharing"",""สบก!AT59"")"),0.0)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IFERROR(__xludf.DUMMYFUNCTION("IMPORTRANGE(""https://docs.google.com/spreadsheets/d/1SX6NBoVAgQJ6U1MVXOaj8PK2l7WJ3RER9xtqwdhxkhw/edit?usp=sharing"",""กาญจนบุรี!J39"")"),0.0)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IFERROR(__xludf.DUMMYFUNCTION("IMPORTRANGE(""https://docs.google.com/spreadsheets/d/1SX6NBoVAgQJ6U1MVXOaj8PK2l7WJ3RER9xtqwdhxkhw/edit?usp=sharing"",""กาญจนบุรี!J40"")"),1.0)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IFERROR(__xludf.DUMMYFUNCTION("IMPORTRANGE(""https://docs.google.com/spreadsheets/d/1SX6NBoVAgQJ6U1MVXOaj8PK2l7WJ3RER9xtqwdhxkhw/edit?usp=sharing"",""กาญจนบุรี!J41"")"),1.0)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IFERROR(__xludf.DUMMYFUNCTION("IMPORTRANGE(""https://docs.google.com/spreadsheets/d/1SX6NBoVAgQJ6U1MVXOaj8PK2l7WJ3RER9xtqwdhxkhw/edit?usp=sharing"",""กาญจนบุรี!J42"")"),1.0)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IFERROR(__xludf.DUMMYFUNCTION("IMPORTRANGE(""https://docs.google.com/spreadsheets/d/1SX6NBoVAgQJ6U1MVXOaj8PK2l7WJ3RER9xtqwdhxkhw/edit?usp=sharing"",""กาญจนบุรี!I43"")"),1.0)</f>
        <v>1</v>
      </c>
      <c r="J108" s="238">
        <f>IFERROR(__xludf.DUMMYFUNCTION("IMPORTRANGE(""https://docs.google.com/spreadsheets/d/1SX6NBoVAgQJ6U1MVXOaj8PK2l7WJ3RER9xtqwdhxkhw/edit?usp=sharing"",""กาญจนบุรี!J43"")"),1.0)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IFERROR(__xludf.DUMMYFUNCTION("IMPORTRANGE(""https://docs.google.com/spreadsheets/d/1SX6NBoVAgQJ6U1MVXOaj8PK2l7WJ3RER9xtqwdhxkhw/edit?usp=sharing"",""กาญจนบุรี!I44"")"),7.0)</f>
        <v>7</v>
      </c>
      <c r="J109" s="238">
        <f>IFERROR(__xludf.DUMMYFUNCTION("IMPORTRANGE(""https://docs.google.com/spreadsheets/d/1SX6NBoVAgQJ6U1MVXOaj8PK2l7WJ3RER9xtqwdhxkhw/edit?usp=sharing"",""กาญจนบุรี!J44"")"),0.0)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IFERROR(__xludf.DUMMYFUNCTION("IMPORTRANGE(""https://docs.google.com/spreadsheets/d/1SX6NBoVAgQJ6U1MVXOaj8PK2l7WJ3RER9xtqwdhxkhw/edit?usp=sharing"",""กาญจนบุรี!I45"")"),7.0)</f>
        <v>7</v>
      </c>
      <c r="J110" s="238">
        <f>IFERROR(__xludf.DUMMYFUNCTION("IMPORTRANGE(""https://docs.google.com/spreadsheets/d/1SX6NBoVAgQJ6U1MVXOaj8PK2l7WJ3RER9xtqwdhxkhw/edit?usp=sharing"",""กาญจนบุรี!J45"")"),7.0)</f>
        <v>7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IFERROR(__xludf.DUMMYFUNCTION("IMPORTRANGE(""https://docs.google.com/spreadsheets/d/1SX6NBoVAgQJ6U1MVXOaj8PK2l7WJ3RER9xtqwdhxkhw/edit?usp=sharing"",""กาญจนบุรี!I46"")"),7.0)</f>
        <v>7</v>
      </c>
      <c r="J111" s="238">
        <f>IFERROR(__xludf.DUMMYFUNCTION("IMPORTRANGE(""https://docs.google.com/spreadsheets/d/1SX6NBoVAgQJ6U1MVXOaj8PK2l7WJ3RER9xtqwdhxkhw/edit?usp=sharing"",""กาญจนบุรี!J46"")"),0.0)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IFERROR(__xludf.DUMMYFUNCTION("IMPORTRANGE(""https://docs.google.com/spreadsheets/d/1SX6NBoVAgQJ6U1MVXOaj8PK2l7WJ3RER9xtqwdhxkhw/edit?usp=sharing"",""กาญจนบุรี!I47"")"),7.0)</f>
        <v>7</v>
      </c>
      <c r="J112" s="238">
        <f>IFERROR(__xludf.DUMMYFUNCTION("IMPORTRANGE(""https://docs.google.com/spreadsheets/d/1SX6NBoVAgQJ6U1MVXOaj8PK2l7WJ3RER9xtqwdhxkhw/edit?usp=sharing"",""กาญจนบุรี!J47"")"),0.0)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IFERROR(__xludf.DUMMYFUNCTION("IMPORTRANGE(""https://docs.google.com/spreadsheets/d/1SX6NBoVAgQJ6U1MVXOaj8PK2l7WJ3RER9xtqwdhxkhw/edit?usp=sharing"",""กาญจนบุรี!I48"")"),2.0)</f>
        <v>2</v>
      </c>
      <c r="J113" s="238">
        <f>IFERROR(__xludf.DUMMYFUNCTION("IMPORTRANGE(""https://docs.google.com/spreadsheets/d/1SX6NBoVAgQJ6U1MVXOaj8PK2l7WJ3RER9xtqwdhxkhw/edit?usp=sharing"",""กาญจนบุรี!J48"")"),0.0)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IFERROR(__xludf.DUMMYFUNCTION("IMPORTRANGE(""https://docs.google.com/spreadsheets/d/1SX6NBoVAgQJ6U1MVXOaj8PK2l7WJ3RER9xtqwdhxkhw/edit?usp=sharing"",""กาญจนบุรี!J49"")"),0.0)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IFERROR(__xludf.DUMMYFUNCTION("IMPORTRANGE(""https://docs.google.com/spreadsheets/d/1SX6NBoVAgQJ6U1MVXOaj8PK2l7WJ3RER9xtqwdhxkhw/edit?usp=sharing"",""กาญจนบุรี!J50"")"),0.0)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IFERROR(__xludf.DUMMYFUNCTION("IMPORTRANGE(""https://docs.google.com/spreadsheets/d/1SX6NBoVAgQJ6U1MVXOaj8PK2l7WJ3RER9xtqwdhxkhw/edit?usp=sharing"",""กาญจนบุรี!I52"")"),20.0)</f>
        <v>20</v>
      </c>
      <c r="J117" s="172">
        <f>IFERROR(__xludf.DUMMYFUNCTION("IMPORTRANGE(""https://docs.google.com/spreadsheets/d/1SX6NBoVAgQJ6U1MVXOaj8PK2l7WJ3RER9xtqwdhxkhw/edit?usp=sharing"",""กาญจนบุรี!J52"")"),0.0)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IFERROR(__xludf.DUMMYFUNCTION("IMPORTRANGE(""https://docs.google.com/spreadsheets/d/1Yj_ptqi66GCucihVvJfMjLAmec39IyEx_6qawtMGysU/edit?usp=sharing"",""สบก!BA59"")"),66440.0)</f>
        <v>66440</v>
      </c>
      <c r="N122" s="202">
        <f>IFERROR(__xludf.DUMMYFUNCTION("IMPORTRANGE(""https://docs.google.com/spreadsheets/d/1Yj_ptqi66GCucihVvJfMjLAmec39IyEx_6qawtMGysU/edit?usp=sharing"",""สบก!BB59"")"),0.0)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IFERROR(__xludf.DUMMYFUNCTION("IMPORTRANGE(""https://docs.google.com/spreadsheets/d/1Yj_ptqi66GCucihVvJfMjLAmec39IyEx_6qawtMGysU/edit?usp=sharing"",""สบก!AW59"")"),0.0)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IFERROR(__xludf.DUMMYFUNCTION("IMPORTRANGE(""https://docs.google.com/spreadsheets/d/1Yj_ptqi66GCucihVvJfMjLAmec39IyEx_6qawtMGysU/edit?usp=sharing"",""สบก!AX59"")"),82440.0)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IFERROR(__xludf.DUMMYFUNCTION("IMPORTRANGE(""https://docs.google.com/spreadsheets/d/1Yj_ptqi66GCucihVvJfMjLAmec39IyEx_6qawtMGysU/edit?usp=sharing"",""สบก!AY59"")"),0.0)</f>
        <v>0</v>
      </c>
      <c r="M126" s="125"/>
      <c r="N126" s="115">
        <f>IFERROR(__xludf.DUMMYFUNCTION("IMPORTRANGE(""https://docs.google.com/spreadsheets/d/1Yj_ptqi66GCucihVvJfMjLAmec39IyEx_6qawtMGysU/edit?usp=sharing"",""สบก!BC59"")"),0.0)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IFERROR(__xludf.DUMMYFUNCTION("IMPORTRANGE(""https://docs.google.com/spreadsheets/d/1SX6NBoVAgQJ6U1MVXOaj8PK2l7WJ3RER9xtqwdhxkhw/edit?usp=sharing"",""กาญจนบุรี!J58"")"),0.0)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IFERROR(__xludf.DUMMYFUNCTION("IMPORTRANGE(""https://docs.google.com/spreadsheets/d/1SX6NBoVAgQJ6U1MVXOaj8PK2l7WJ3RER9xtqwdhxkhw/edit?usp=sharing"",""กาญจนบุรี!J59"")"),1.0)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IFERROR(__xludf.DUMMYFUNCTION("IMPORTRANGE(""https://docs.google.com/spreadsheets/d/1SX6NBoVAgQJ6U1MVXOaj8PK2l7WJ3RER9xtqwdhxkhw/edit?usp=sharing"",""กาญจนบุรี!J60"")"),1.0)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IFERROR(__xludf.DUMMYFUNCTION("IMPORTRANGE(""https://docs.google.com/spreadsheets/d/1SX6NBoVAgQJ6U1MVXOaj8PK2l7WJ3RER9xtqwdhxkhw/edit?usp=sharing"",""กาญจนบุรี!J61"")"),1.0)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IFERROR(__xludf.DUMMYFUNCTION("IMPORTRANGE(""https://docs.google.com/spreadsheets/d/1SX6NBoVAgQJ6U1MVXOaj8PK2l7WJ3RER9xtqwdhxkhw/edit?usp=sharing"",""กาญจนบุรี!I62"")"),20.0)</f>
        <v>20</v>
      </c>
      <c r="J132" s="238">
        <f>IFERROR(__xludf.DUMMYFUNCTION("IMPORTRANGE(""https://docs.google.com/spreadsheets/d/1SX6NBoVAgQJ6U1MVXOaj8PK2l7WJ3RER9xtqwdhxkhw/edit?usp=sharing"",""กาญจนบุรี!J62"")"),0.0)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IFERROR(__xludf.DUMMYFUNCTION("IMPORTRANGE(""https://docs.google.com/spreadsheets/d/1SX6NBoVAgQJ6U1MVXOaj8PK2l7WJ3RER9xtqwdhxkhw/edit?usp=sharing"",""กาญจนบุรี!I63"")"),20.0)</f>
        <v>20</v>
      </c>
      <c r="J133" s="238">
        <f>IFERROR(__xludf.DUMMYFUNCTION("IMPORTRANGE(""https://docs.google.com/spreadsheets/d/1SX6NBoVAgQJ6U1MVXOaj8PK2l7WJ3RER9xtqwdhxkhw/edit?usp=sharing"",""กาญจนบุรี!J63"")"),0.0)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IFERROR(__xludf.DUMMYFUNCTION("IMPORTRANGE(""https://docs.google.com/spreadsheets/d/1SX6NBoVAgQJ6U1MVXOaj8PK2l7WJ3RER9xtqwdhxkhw/edit?usp=sharing"",""กาญจนบุรี!J64"")"),0.0)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IFERROR(__xludf.DUMMYFUNCTION("IMPORTRANGE(""https://docs.google.com/spreadsheets/d/1SX6NBoVAgQJ6U1MVXOaj8PK2l7WJ3RER9xtqwdhxkhw/edit?usp=sharing"",""กาญจนบุรี!J65"")"),0.0)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IFERROR(__xludf.DUMMYFUNCTION("IMPORTRANGE(""https://docs.google.com/spreadsheets/d/1SX6NBoVAgQJ6U1MVXOaj8PK2l7WJ3RER9xtqwdhxkhw/edit?usp=sharing"",""กาญจนบุรี!I68"")"),30.0)</f>
        <v>30</v>
      </c>
      <c r="J138" s="301">
        <f>IFERROR(__xludf.DUMMYFUNCTION("IMPORTRANGE(""https://docs.google.com/spreadsheets/d/1SX6NBoVAgQJ6U1MVXOaj8PK2l7WJ3RER9xtqwdhxkhw/edit?usp=sharing"",""กาญจนบุรี!J68"")"),0.0)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647600</v>
      </c>
      <c r="M140" s="183">
        <f t="shared" si="65"/>
        <v>392450</v>
      </c>
      <c r="N140" s="183">
        <f t="shared" si="65"/>
        <v>158055</v>
      </c>
      <c r="O140" s="182">
        <f t="shared" ref="O140:O142" si="67">IF(L140&gt;0,N140*100/L140,0)</f>
        <v>24.4062693</v>
      </c>
      <c r="P140" s="182">
        <f t="shared" ref="P140:P142" si="68">IF(M140&gt;0,N140*100/M140,0)</f>
        <v>40.27392024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647600</v>
      </c>
      <c r="M142" s="188">
        <f t="shared" si="69"/>
        <v>392450</v>
      </c>
      <c r="N142" s="188">
        <f t="shared" si="69"/>
        <v>158055</v>
      </c>
      <c r="O142" s="187">
        <f t="shared" si="67"/>
        <v>24.4062693</v>
      </c>
      <c r="P142" s="187">
        <f t="shared" si="68"/>
        <v>40.27392024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647600</v>
      </c>
      <c r="M144" s="201">
        <f>IFERROR(__xludf.DUMMYFUNCTION("IMPORTRANGE(""https://docs.google.com/spreadsheets/d/1Yj_ptqi66GCucihVvJfMjLAmec39IyEx_6qawtMGysU/edit?usp=sharing"",""สบก!BJ59"")"),392450.0)</f>
        <v>392450</v>
      </c>
      <c r="N144" s="202">
        <f>IFERROR(__xludf.DUMMYFUNCTION("IMPORTRANGE(""https://docs.google.com/spreadsheets/d/1Yj_ptqi66GCucihVvJfMjLAmec39IyEx_6qawtMGysU/edit?usp=sharing"",""สบก!BK59"")"),158055.0)</f>
        <v>158055</v>
      </c>
      <c r="O144" s="203">
        <f>IF(L144&gt;0,N144*100/L144,0)</f>
        <v>24.4062693</v>
      </c>
      <c r="P144" s="203">
        <f>IF(M144&gt;0,N144*100/M144,0)</f>
        <v>40.27392024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IFERROR(__xludf.DUMMYFUNCTION("IMPORTRANGE(""https://docs.google.com/spreadsheets/d/1Yj_ptqi66GCucihVvJfMjLAmec39IyEx_6qawtMGysU/edit?usp=sharing"",""สบก!BF59"")"),364700.0)</f>
        <v>364700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IFERROR(__xludf.DUMMYFUNCTION("IMPORTRANGE(""https://docs.google.com/spreadsheets/d/1Yj_ptqi66GCucihVvJfMjLAmec39IyEx_6qawtMGysU/edit?usp=sharing"",""สบก!BG59"")"),282900.0)</f>
        <v>282900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IFERROR(__xludf.DUMMYFUNCTION("IMPORTRANGE(""https://docs.google.com/spreadsheets/d/1Yj_ptqi66GCucihVvJfMjLAmec39IyEx_6qawtMGysU/edit?usp=sharing"",""สบก!BH59"")"),0.0)</f>
        <v>0</v>
      </c>
      <c r="M148" s="125"/>
      <c r="N148" s="115">
        <f>IFERROR(__xludf.DUMMYFUNCTION("IMPORTRANGE(""https://docs.google.com/spreadsheets/d/1Yj_ptqi66GCucihVvJfMjLAmec39IyEx_6qawtMGysU/edit?usp=sharing"",""สบก!BL59"")"),0.0)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IFERROR(__xludf.DUMMYFUNCTION("IMPORTRANGE(""https://docs.google.com/spreadsheets/d/1SX6NBoVAgQJ6U1MVXOaj8PK2l7WJ3RER9xtqwdhxkhw/edit?usp=sharing"",""กาญจนบุรี!I74"")"),4.0)</f>
        <v>4</v>
      </c>
      <c r="J149" s="309">
        <f>IFERROR(__xludf.DUMMYFUNCTION("IMPORTRANGE(""https://docs.google.com/spreadsheets/d/1SX6NBoVAgQJ6U1MVXOaj8PK2l7WJ3RER9xtqwdhxkhw/edit?usp=sharing"",""กาญจนบุรี!J74"")"),1.0)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IFERROR(__xludf.DUMMYFUNCTION("IMPORTRANGE(""https://docs.google.com/spreadsheets/d/1SX6NBoVAgQJ6U1MVXOaj8PK2l7WJ3RER9xtqwdhxkhw/edit?usp=sharing"",""กาญจนบุรี!J79"")"),0.0)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IFERROR(__xludf.DUMMYFUNCTION("IMPORTRANGE(""https://docs.google.com/spreadsheets/d/1SX6NBoVAgQJ6U1MVXOaj8PK2l7WJ3RER9xtqwdhxkhw/edit?usp=sharing"",""กาญจนบุรี!J80"")"),1.0)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IFERROR(__xludf.DUMMYFUNCTION("IMPORTRANGE(""https://docs.google.com/spreadsheets/d/1SX6NBoVAgQJ6U1MVXOaj8PK2l7WJ3RER9xtqwdhxkhw/edit?usp=sharing"",""กาญจนบุรี!J81"")"),1.0)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IFERROR(__xludf.DUMMYFUNCTION("IMPORTRANGE(""https://docs.google.com/spreadsheets/d/1SX6NBoVAgQJ6U1MVXOaj8PK2l7WJ3RER9xtqwdhxkhw/edit?usp=sharing"",""กาญจนบุรี!J82"")"),1.0)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IFERROR(__xludf.DUMMYFUNCTION("IMPORTRANGE(""https://docs.google.com/spreadsheets/d/1SX6NBoVAgQJ6U1MVXOaj8PK2l7WJ3RER9xtqwdhxkhw/edit?usp=sharing"",""กาญจนบุรี!I83"")"),4.0)</f>
        <v>4</v>
      </c>
      <c r="J158" s="223">
        <f>IFERROR(__xludf.DUMMYFUNCTION("IMPORTRANGE(""https://docs.google.com/spreadsheets/d/1SX6NBoVAgQJ6U1MVXOaj8PK2l7WJ3RER9xtqwdhxkhw/edit?usp=sharing"",""กาญจนบุรี!J83"")"),1.0)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IFERROR(__xludf.DUMMYFUNCTION("IMPORTRANGE(""https://docs.google.com/spreadsheets/d/1SX6NBoVAgQJ6U1MVXOaj8PK2l7WJ3RER9xtqwdhxkhw/edit?usp=sharing"",""กาญจนบุรี!J84"")"),15.0)</f>
        <v>15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IFERROR(__xludf.DUMMYFUNCTION("IMPORTRANGE(""https://docs.google.com/spreadsheets/d/1SX6NBoVAgQJ6U1MVXOaj8PK2l7WJ3RER9xtqwdhxkhw/edit?usp=sharing"",""กาญจนบุรี!J85"")"),15.0)</f>
        <v>15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IFERROR(__xludf.DUMMYFUNCTION("IMPORTRANGE(""https://docs.google.com/spreadsheets/d/1SX6NBoVAgQJ6U1MVXOaj8PK2l7WJ3RER9xtqwdhxkhw/edit?usp=sharing"",""กาญจนบุรี!J86"")"),0.0)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IFERROR(__xludf.DUMMYFUNCTION("IMPORTRANGE(""https://docs.google.com/spreadsheets/d/1SX6NBoVAgQJ6U1MVXOaj8PK2l7WJ3RER9xtqwdhxkhw/edit?usp=sharing"",""กาญจนบุรี!J87"")"),0.0)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IFERROR(__xludf.DUMMYFUNCTION("IMPORTRANGE(""https://docs.google.com/spreadsheets/d/1SX6NBoVAgQJ6U1MVXOaj8PK2l7WJ3RER9xtqwdhxkhw/edit?usp=sharing"",""กาญจนบุรี!J88"")"),0.0)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IFERROR(__xludf.DUMMYFUNCTION("IMPORTRANGE(""https://docs.google.com/spreadsheets/d/1SX6NBoVAgQJ6U1MVXOaj8PK2l7WJ3RER9xtqwdhxkhw/edit?usp=sharing"",""กาญจนบุรี!I89"")"),4.0)</f>
        <v>4</v>
      </c>
      <c r="J164" s="317">
        <f>IFERROR(__xludf.DUMMYFUNCTION("IMPORTRANGE(""https://docs.google.com/spreadsheets/d/1SX6NBoVAgQJ6U1MVXOaj8PK2l7WJ3RER9xtqwdhxkhw/edit?usp=sharing"",""กาญจนบุรี!J89"")"),0.0)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IFERROR(__xludf.DUMMYFUNCTION("IMPORTRANGE(""https://docs.google.com/spreadsheets/d/1SX6NBoVAgQJ6U1MVXOaj8PK2l7WJ3RER9xtqwdhxkhw/edit?usp=sharing"",""กาญจนบุรี!J94"")"),0.0)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IFERROR(__xludf.DUMMYFUNCTION("IMPORTRANGE(""https://docs.google.com/spreadsheets/d/1SX6NBoVAgQJ6U1MVXOaj8PK2l7WJ3RER9xtqwdhxkhw/edit?usp=sharing"",""กาญจนบุรี!J95"")"),1.0)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IFERROR(__xludf.DUMMYFUNCTION("IMPORTRANGE(""https://docs.google.com/spreadsheets/d/1SX6NBoVAgQJ6U1MVXOaj8PK2l7WJ3RER9xtqwdhxkhw/edit?usp=sharing"",""กาญจนบุรี!J96"")"),1.0)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IFERROR(__xludf.DUMMYFUNCTION("IMPORTRANGE(""https://docs.google.com/spreadsheets/d/1SX6NBoVAgQJ6U1MVXOaj8PK2l7WJ3RER9xtqwdhxkhw/edit?usp=sharing"",""กาญจนบุรี!J97"")"),1.0)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IFERROR(__xludf.DUMMYFUNCTION("IMPORTRANGE(""https://docs.google.com/spreadsheets/d/1SX6NBoVAgQJ6U1MVXOaj8PK2l7WJ3RER9xtqwdhxkhw/edit?usp=sharing"",""กาญจนบุรี!I98"")"),4.0)</f>
        <v>4</v>
      </c>
      <c r="J173" s="223">
        <f>IFERROR(__xludf.DUMMYFUNCTION("IMPORTRANGE(""https://docs.google.com/spreadsheets/d/1SX6NBoVAgQJ6U1MVXOaj8PK2l7WJ3RER9xtqwdhxkhw/edit?usp=sharing"",""กาญจนบุรี!J98"")"),0.0)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IFERROR(__xludf.DUMMYFUNCTION("IMPORTRANGE(""https://docs.google.com/spreadsheets/d/1SX6NBoVAgQJ6U1MVXOaj8PK2l7WJ3RER9xtqwdhxkhw/edit?usp=sharing"",""กาญจนบุรี!J99"")"),0.0)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IFERROR(__xludf.DUMMYFUNCTION("IMPORTRANGE(""https://docs.google.com/spreadsheets/d/1SX6NBoVAgQJ6U1MVXOaj8PK2l7WJ3RER9xtqwdhxkhw/edit?usp=sharing"",""กาญจนบุรี!J100"")"),0.0)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IFERROR(__xludf.DUMMYFUNCTION("IMPORTRANGE(""https://docs.google.com/spreadsheets/d/1SX6NBoVAgQJ6U1MVXOaj8PK2l7WJ3RER9xtqwdhxkhw/edit?usp=sharing"",""กาญจนบุรี!I101"")"),6.0)</f>
        <v>6</v>
      </c>
      <c r="J176" s="317">
        <f>IFERROR(__xludf.DUMMYFUNCTION("IMPORTRANGE(""https://docs.google.com/spreadsheets/d/1SX6NBoVAgQJ6U1MVXOaj8PK2l7WJ3RER9xtqwdhxkhw/edit?usp=sharing"",""กาญจนบุรี!J101"")"),0.0)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IFERROR(__xludf.DUMMYFUNCTION("IMPORTRANGE(""https://docs.google.com/spreadsheets/d/1SX6NBoVAgQJ6U1MVXOaj8PK2l7WJ3RER9xtqwdhxkhw/edit?usp=sharing"",""กาญจนบุรี!J106"")"),0.0)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IFERROR(__xludf.DUMMYFUNCTION("IMPORTRANGE(""https://docs.google.com/spreadsheets/d/1SX6NBoVAgQJ6U1MVXOaj8PK2l7WJ3RER9xtqwdhxkhw/edit?usp=sharing"",""กาญจนบุรี!J107"")"),1.0)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IFERROR(__xludf.DUMMYFUNCTION("IMPORTRANGE(""https://docs.google.com/spreadsheets/d/1SX6NBoVAgQJ6U1MVXOaj8PK2l7WJ3RER9xtqwdhxkhw/edit?usp=sharing"",""กาญจนบุรี!J108"")"),1.0)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IFERROR(__xludf.DUMMYFUNCTION("IMPORTRANGE(""https://docs.google.com/spreadsheets/d/1SX6NBoVAgQJ6U1MVXOaj8PK2l7WJ3RER9xtqwdhxkhw/edit?usp=sharing"",""กาญจนบุรี!J109"")"),1.0)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IFERROR(__xludf.DUMMYFUNCTION("IMPORTRANGE(""https://docs.google.com/spreadsheets/d/1SX6NBoVAgQJ6U1MVXOaj8PK2l7WJ3RER9xtqwdhxkhw/edit?usp=sharing"",""กาญจนบุรี!I110"")"),6.0)</f>
        <v>6</v>
      </c>
      <c r="J185" s="238">
        <f>IFERROR(__xludf.DUMMYFUNCTION("IMPORTRANGE(""https://docs.google.com/spreadsheets/d/1SX6NBoVAgQJ6U1MVXOaj8PK2l7WJ3RER9xtqwdhxkhw/edit?usp=sharing"",""กาญจนบุรี!J110"")"),0.0)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IFERROR(__xludf.DUMMYFUNCTION("IMPORTRANGE(""https://docs.google.com/spreadsheets/d/1SX6NBoVAgQJ6U1MVXOaj8PK2l7WJ3RER9xtqwdhxkhw/edit?usp=sharing"",""กาญจนบุรี!I111"")"),6.0)</f>
        <v>6</v>
      </c>
      <c r="J186" s="238">
        <f>IFERROR(__xludf.DUMMYFUNCTION("IMPORTRANGE(""https://docs.google.com/spreadsheets/d/1SX6NBoVAgQJ6U1MVXOaj8PK2l7WJ3RER9xtqwdhxkhw/edit?usp=sharing"",""กาญจนบุรี!J111"")"),0.0)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IFERROR(__xludf.DUMMYFUNCTION("IMPORTRANGE(""https://docs.google.com/spreadsheets/d/1SX6NBoVAgQJ6U1MVXOaj8PK2l7WJ3RER9xtqwdhxkhw/edit?usp=sharing"",""กาญจนบุรี!J112"")"),0.0)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IFERROR(__xludf.DUMMYFUNCTION("IMPORTRANGE(""https://docs.google.com/spreadsheets/d/1SX6NBoVAgQJ6U1MVXOaj8PK2l7WJ3RER9xtqwdhxkhw/edit?usp=sharing"",""กาญจนบุรี!J113"")"),0.0)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IFERROR(__xludf.DUMMYFUNCTION("IMPORTRANGE(""https://docs.google.com/spreadsheets/d/1SX6NBoVAgQJ6U1MVXOaj8PK2l7WJ3RER9xtqwdhxkhw/edit?usp=sharing"",""กาญจนบุรี!I114"")"),20000.0)</f>
        <v>20000</v>
      </c>
      <c r="J189" s="317">
        <f>IFERROR(__xludf.DUMMYFUNCTION("IMPORTRANGE(""https://docs.google.com/spreadsheets/d/1SX6NBoVAgQJ6U1MVXOaj8PK2l7WJ3RER9xtqwdhxkhw/edit?usp=sharing"",""กาญจนบุรี!J114"")"),0.0)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IFERROR(__xludf.DUMMYFUNCTION("IMPORTRANGE(""https://docs.google.com/spreadsheets/d/1SX6NBoVAgQJ6U1MVXOaj8PK2l7WJ3RER9xtqwdhxkhw/edit?usp=sharing"",""กาญจนบุรี!J119"")"),0.0)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IFERROR(__xludf.DUMMYFUNCTION("IMPORTRANGE(""https://docs.google.com/spreadsheets/d/1SX6NBoVAgQJ6U1MVXOaj8PK2l7WJ3RER9xtqwdhxkhw/edit?usp=sharing"",""กาญจนบุรี!J120"")"),1.0)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IFERROR(__xludf.DUMMYFUNCTION("IMPORTRANGE(""https://docs.google.com/spreadsheets/d/1SX6NBoVAgQJ6U1MVXOaj8PK2l7WJ3RER9xtqwdhxkhw/edit?usp=sharing"",""กาญจนบุรี!J121"")"),1.0)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IFERROR(__xludf.DUMMYFUNCTION("IMPORTRANGE(""https://docs.google.com/spreadsheets/d/1SX6NBoVAgQJ6U1MVXOaj8PK2l7WJ3RER9xtqwdhxkhw/edit?usp=sharing"",""กาญจนบุรี!J122"")"),1.0)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IFERROR(__xludf.DUMMYFUNCTION("IMPORTRANGE(""https://docs.google.com/spreadsheets/d/1SX6NBoVAgQJ6U1MVXOaj8PK2l7WJ3RER9xtqwdhxkhw/edit?usp=sharing"",""กาญจนบุรี!I124"")"),20000.0)</f>
        <v>20000</v>
      </c>
      <c r="J199" s="223">
        <f>IFERROR(__xludf.DUMMYFUNCTION("IMPORTRANGE(""https://docs.google.com/spreadsheets/d/1SX6NBoVAgQJ6U1MVXOaj8PK2l7WJ3RER9xtqwdhxkhw/edit?usp=sharing"",""กาญจนบุรี!J124"")"),0.0)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IFERROR(__xludf.DUMMYFUNCTION("IMPORTRANGE(""https://docs.google.com/spreadsheets/d/1SX6NBoVAgQJ6U1MVXOaj8PK2l7WJ3RER9xtqwdhxkhw/edit?usp=sharing"",""กาญจนบุรี!I125"")"),20000.0)</f>
        <v>20000</v>
      </c>
      <c r="J200" s="223">
        <f>IFERROR(__xludf.DUMMYFUNCTION("IMPORTRANGE(""https://docs.google.com/spreadsheets/d/1SX6NBoVAgQJ6U1MVXOaj8PK2l7WJ3RER9xtqwdhxkhw/edit?usp=sharing"",""กาญจนบุรี!J125"")"),0.0)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IFERROR(__xludf.DUMMYFUNCTION("IMPORTRANGE(""https://docs.google.com/spreadsheets/d/1SX6NBoVAgQJ6U1MVXOaj8PK2l7WJ3RER9xtqwdhxkhw/edit?usp=sharing"",""กาญจนบุรี!I126"")"),0.0)</f>
        <v>0</v>
      </c>
      <c r="J201" s="223">
        <f>IFERROR(__xludf.DUMMYFUNCTION("IMPORTRANGE(""https://docs.google.com/spreadsheets/d/1SX6NBoVAgQJ6U1MVXOaj8PK2l7WJ3RER9xtqwdhxkhw/edit?usp=sharing"",""กาญจนบุรี!J126"")"),0.0)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IFERROR(__xludf.DUMMYFUNCTION("IMPORTRANGE(""https://docs.google.com/spreadsheets/d/1SX6NBoVAgQJ6U1MVXOaj8PK2l7WJ3RER9xtqwdhxkhw/edit?usp=sharing"",""กาญจนบุรี!J127"")"),0.0)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IFERROR(__xludf.DUMMYFUNCTION("IMPORTRANGE(""https://docs.google.com/spreadsheets/d/1SX6NBoVAgQJ6U1MVXOaj8PK2l7WJ3RER9xtqwdhxkhw/edit?usp=sharing"",""กาญจนบุรี!J128"")"),0.0)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IFERROR(__xludf.DUMMYFUNCTION("IMPORTRANGE(""https://docs.google.com/spreadsheets/d/1SX6NBoVAgQJ6U1MVXOaj8PK2l7WJ3RER9xtqwdhxkhw/edit?usp=sharing"",""กาญจนบุรี!I129"")"),30.0)</f>
        <v>30</v>
      </c>
      <c r="J204" s="317">
        <f>IFERROR(__xludf.DUMMYFUNCTION("IMPORTRANGE(""https://docs.google.com/spreadsheets/d/1SX6NBoVAgQJ6U1MVXOaj8PK2l7WJ3RER9xtqwdhxkhw/edit?usp=sharing"",""กาญจนบุรี!J129"")"),0.0)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IFERROR(__xludf.DUMMYFUNCTION("IMPORTRANGE(""https://docs.google.com/spreadsheets/d/1SX6NBoVAgQJ6U1MVXOaj8PK2l7WJ3RER9xtqwdhxkhw/edit?usp=sharing"",""กาญจนบุรี!J134"")"),0.0)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IFERROR(__xludf.DUMMYFUNCTION("IMPORTRANGE(""https://docs.google.com/spreadsheets/d/1SX6NBoVAgQJ6U1MVXOaj8PK2l7WJ3RER9xtqwdhxkhw/edit?usp=sharing"",""กาญจนบุรี!J135"")"),1.0)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IFERROR(__xludf.DUMMYFUNCTION("IMPORTRANGE(""https://docs.google.com/spreadsheets/d/1SX6NBoVAgQJ6U1MVXOaj8PK2l7WJ3RER9xtqwdhxkhw/edit?usp=sharing"",""กาญจนบุรี!J136"")"),1.0)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IFERROR(__xludf.DUMMYFUNCTION("IMPORTRANGE(""https://docs.google.com/spreadsheets/d/1SX6NBoVAgQJ6U1MVXOaj8PK2l7WJ3RER9xtqwdhxkhw/edit?usp=sharing"",""กาญจนบุรี!J137"")"),1.0)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IFERROR(__xludf.DUMMYFUNCTION("IMPORTRANGE(""https://docs.google.com/spreadsheets/d/1SX6NBoVAgQJ6U1MVXOaj8PK2l7WJ3RER9xtqwdhxkhw/edit?usp=sharing"",""กาญจนบุรี!I138"")"),30.0)</f>
        <v>30</v>
      </c>
      <c r="J213" s="238">
        <f>IFERROR(__xludf.DUMMYFUNCTION("IMPORTRANGE(""https://docs.google.com/spreadsheets/d/1SX6NBoVAgQJ6U1MVXOaj8PK2l7WJ3RER9xtqwdhxkhw/edit?usp=sharing"",""กาญจนบุรี!J138"")"),0.0)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IFERROR(__xludf.DUMMYFUNCTION("IMPORTRANGE(""https://docs.google.com/spreadsheets/d/1SX6NBoVAgQJ6U1MVXOaj8PK2l7WJ3RER9xtqwdhxkhw/edit?usp=sharing"",""กาญจนบุรี!I140"")"),0.0)</f>
        <v>0</v>
      </c>
      <c r="J215" s="238">
        <f>IFERROR(__xludf.DUMMYFUNCTION("IMPORTRANGE(""https://docs.google.com/spreadsheets/d/1SX6NBoVAgQJ6U1MVXOaj8PK2l7WJ3RER9xtqwdhxkhw/edit?usp=sharing"",""กาญจนบุรี!J140"")"),0.0)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IFERROR(__xludf.DUMMYFUNCTION("IMPORTRANGE(""https://docs.google.com/spreadsheets/d/1SX6NBoVAgQJ6U1MVXOaj8PK2l7WJ3RER9xtqwdhxkhw/edit?usp=sharing"",""กาญจนบุรี!I141"")"),1.0)</f>
        <v>1</v>
      </c>
      <c r="J216" s="238">
        <f>IFERROR(__xludf.DUMMYFUNCTION("IMPORTRANGE(""https://docs.google.com/spreadsheets/d/1SX6NBoVAgQJ6U1MVXOaj8PK2l7WJ3RER9xtqwdhxkhw/edit?usp=sharing"",""กาญจนบุรี!J141"")"),0.0)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IFERROR(__xludf.DUMMYFUNCTION("IMPORTRANGE(""https://docs.google.com/spreadsheets/d/1SX6NBoVAgQJ6U1MVXOaj8PK2l7WJ3RER9xtqwdhxkhw/edit?usp=sharing"",""กาญจนบุรี!J142"")"),0.0)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IFERROR(__xludf.DUMMYFUNCTION("IMPORTRANGE(""https://docs.google.com/spreadsheets/d/1SX6NBoVAgQJ6U1MVXOaj8PK2l7WJ3RER9xtqwdhxkhw/edit?usp=sharing"",""กาญจนบุรี!J143"")"),0.0)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IFERROR(__xludf.DUMMYFUNCTION("IMPORTRANGE(""https://docs.google.com/spreadsheets/d/1SX6NBoVAgQJ6U1MVXOaj8PK2l7WJ3RER9xtqwdhxkhw/edit?usp=sharing"",""กาญจนบุรี!I144"")"),14.0)</f>
        <v>14</v>
      </c>
      <c r="J219" s="301">
        <f>IFERROR(__xludf.DUMMYFUNCTION("IMPORTRANGE(""https://docs.google.com/spreadsheets/d/1SX6NBoVAgQJ6U1MVXOaj8PK2l7WJ3RER9xtqwdhxkhw/edit?usp=sharing"",""กาญจนบุรี!J144"")"),0.0)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IFERROR(__xludf.DUMMYFUNCTION("IMPORTRANGE(""https://docs.google.com/spreadsheets/d/1Yj_ptqi66GCucihVvJfMjLAmec39IyEx_6qawtMGysU/edit?usp=sharing"",""สบก!BS59"")"),20210.0)</f>
        <v>20210</v>
      </c>
      <c r="N224" s="202">
        <f>IFERROR(__xludf.DUMMYFUNCTION("IMPORTRANGE(""https://docs.google.com/spreadsheets/d/1Yj_ptqi66GCucihVvJfMjLAmec39IyEx_6qawtMGysU/edit?usp=sharing"",""สบก!BT59"")"),0.0)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IFERROR(__xludf.DUMMYFUNCTION("IMPORTRANGE(""https://docs.google.com/spreadsheets/d/1Yj_ptqi66GCucihVvJfMjLAmec39IyEx_6qawtMGysU/edit?usp=sharing"",""สบก!BO59"")"),0.0)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IFERROR(__xludf.DUMMYFUNCTION("IMPORTRANGE(""https://docs.google.com/spreadsheets/d/1Yj_ptqi66GCucihVvJfMjLAmec39IyEx_6qawtMGysU/edit?usp=sharing"",""สบก!BP59"")"),20210.0)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IFERROR(__xludf.DUMMYFUNCTION("IMPORTRANGE(""https://docs.google.com/spreadsheets/d/1Yj_ptqi66GCucihVvJfMjLAmec39IyEx_6qawtMGysU/edit?usp=sharing"",""สบก!BQ59"")"),0.0)</f>
        <v>0</v>
      </c>
      <c r="M228" s="125"/>
      <c r="N228" s="115">
        <f>IFERROR(__xludf.DUMMYFUNCTION("IMPORTRANGE(""https://docs.google.com/spreadsheets/d/1Yj_ptqi66GCucihVvJfMjLAmec39IyEx_6qawtMGysU/edit?usp=sharing"",""สบก!BU59"")"),0.0)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IFERROR(__xludf.DUMMYFUNCTION("IMPORTRANGE(""https://docs.google.com/spreadsheets/d/1SX6NBoVAgQJ6U1MVXOaj8PK2l7WJ3RER9xtqwdhxkhw/edit?usp=sharing"",""กาญจนบุรี!I149"")"),14.0)</f>
        <v>14</v>
      </c>
      <c r="J229" s="301">
        <f>IFERROR(__xludf.DUMMYFUNCTION("IMPORTRANGE(""https://docs.google.com/spreadsheets/d/1SX6NBoVAgQJ6U1MVXOaj8PK2l7WJ3RER9xtqwdhxkhw/edit?usp=sharing"",""กาญจนบุรี!J149"")"),0.0)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IFERROR(__xludf.DUMMYFUNCTION("IMPORTRANGE(""https://docs.google.com/spreadsheets/d/1SX6NBoVAgQJ6U1MVXOaj8PK2l7WJ3RER9xtqwdhxkhw/edit?usp=sharing"",""กาญจนบุรี!J151"")"),0.0)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IFERROR(__xludf.DUMMYFUNCTION("IMPORTRANGE(""https://docs.google.com/spreadsheets/d/1SX6NBoVAgQJ6U1MVXOaj8PK2l7WJ3RER9xtqwdhxkhw/edit?usp=sharing"",""กาญจนบุรี!J152"")"),1.0)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IFERROR(__xludf.DUMMYFUNCTION("IMPORTRANGE(""https://docs.google.com/spreadsheets/d/1SX6NBoVAgQJ6U1MVXOaj8PK2l7WJ3RER9xtqwdhxkhw/edit?usp=sharing"",""กาญจนบุรี!J153"")"),1.0)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IFERROR(__xludf.DUMMYFUNCTION("IMPORTRANGE(""https://docs.google.com/spreadsheets/d/1SX6NBoVAgQJ6U1MVXOaj8PK2l7WJ3RER9xtqwdhxkhw/edit?usp=sharing"",""กาญจนบุรี!J154"")"),1.0)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IFERROR(__xludf.DUMMYFUNCTION("IMPORTRANGE(""https://docs.google.com/spreadsheets/d/1SX6NBoVAgQJ6U1MVXOaj8PK2l7WJ3RER9xtqwdhxkhw/edit?usp=sharing"",""กาญจนบุรี!I155"")"),14.0)</f>
        <v>14</v>
      </c>
      <c r="J235" s="223">
        <f>IFERROR(__xludf.DUMMYFUNCTION("IMPORTRANGE(""https://docs.google.com/spreadsheets/d/1SX6NBoVAgQJ6U1MVXOaj8PK2l7WJ3RER9xtqwdhxkhw/edit?usp=sharing"",""กาญจนบุรี!J155"")"),0.0)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 t="str">
        <f>IFERROR(__xludf.DUMMYFUNCTION("IMPORTRANGE(""https://docs.google.com/spreadsheets/d/1SX6NBoVAgQJ6U1MVXOaj8PK2l7WJ3RER9xtqwdhxkhw/edit?usp=sharing"",""กาญจนบุรี!J156"")"),"")</f>
        <v/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IFERROR(__xludf.DUMMYFUNCTION("IMPORTRANGE(""https://docs.google.com/spreadsheets/d/1SX6NBoVAgQJ6U1MVXOaj8PK2l7WJ3RER9xtqwdhxkhw/edit?usp=sharing"",""กาญจนบุรี!J157"")"),0.0)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IFERROR(__xludf.DUMMYFUNCTION("IMPORTRANGE(""https://docs.google.com/spreadsheets/d/1SX6NBoVAgQJ6U1MVXOaj8PK2l7WJ3RER9xtqwdhxkhw/edit?usp=sharing"",""กาญจนบุรี!I158"")"),0.0)</f>
        <v>0</v>
      </c>
      <c r="J238" s="301">
        <f>IFERROR(__xludf.DUMMYFUNCTION("IMPORTRANGE(""https://docs.google.com/spreadsheets/d/1SX6NBoVAgQJ6U1MVXOaj8PK2l7WJ3RER9xtqwdhxkhw/edit?usp=sharing"",""กาญจนบุรี!J158"")"),0.0)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IFERROR(__xludf.DUMMYFUNCTION("IMPORTRANGE(""https://docs.google.com/spreadsheets/d/1SX6NBoVAgQJ6U1MVXOaj8PK2l7WJ3RER9xtqwdhxkhw/edit?usp=sharing"",""กาญจนบุรี!J159"")"),"")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IFERROR(__xludf.DUMMYFUNCTION("IMPORTRANGE(""https://docs.google.com/spreadsheets/d/1SX6NBoVAgQJ6U1MVXOaj8PK2l7WJ3RER9xtqwdhxkhw/edit?usp=sharing"",""กาญจนบุรี!J161"")"),0.0)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IFERROR(__xludf.DUMMYFUNCTION("IMPORTRANGE(""https://docs.google.com/spreadsheets/d/1SX6NBoVAgQJ6U1MVXOaj8PK2l7WJ3RER9xtqwdhxkhw/edit?usp=sharing"",""กาญจนบุรี!J162"")"),0.0)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IFERROR(__xludf.DUMMYFUNCTION("IMPORTRANGE(""https://docs.google.com/spreadsheets/d/1SX6NBoVAgQJ6U1MVXOaj8PK2l7WJ3RER9xtqwdhxkhw/edit?usp=sharing"",""กาญจนบุรี!J163"")"),0.0)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IFERROR(__xludf.DUMMYFUNCTION("IMPORTRANGE(""https://docs.google.com/spreadsheets/d/1SX6NBoVAgQJ6U1MVXOaj8PK2l7WJ3RER9xtqwdhxkhw/edit?usp=sharing"",""กาญจนบุรี!I164"")"),0.0)</f>
        <v>0</v>
      </c>
      <c r="J244" s="222">
        <f>IFERROR(__xludf.DUMMYFUNCTION("IMPORTRANGE(""https://docs.google.com/spreadsheets/d/1SX6NBoVAgQJ6U1MVXOaj8PK2l7WJ3RER9xtqwdhxkhw/edit?usp=sharing"",""กาญจนบุรี!J164"")"),0.0)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IFERROR(__xludf.DUMMYFUNCTION("IMPORTRANGE(""https://docs.google.com/spreadsheets/d/1SX6NBoVAgQJ6U1MVXOaj8PK2l7WJ3RER9xtqwdhxkhw/edit?usp=sharing"",""กาญจนบุรี!J165"")"),0.0)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IFERROR(__xludf.DUMMYFUNCTION("IMPORTRANGE(""https://docs.google.com/spreadsheets/d/1SX6NBoVAgQJ6U1MVXOaj8PK2l7WJ3RER9xtqwdhxkhw/edit?usp=sharing"",""กาญจนบุรี!J166"")"),0.0)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IFERROR(__xludf.DUMMYFUNCTION("IMPORTRANGE(""https://docs.google.com/spreadsheets/d/1SX6NBoVAgQJ6U1MVXOaj8PK2l7WJ3RER9xtqwdhxkhw/edit?usp=sharing"",""กาญจนบุรี!I169"")"),20.0)</f>
        <v>20</v>
      </c>
      <c r="J249" s="349">
        <f>IFERROR(__xludf.DUMMYFUNCTION("IMPORTRANGE(""https://docs.google.com/spreadsheets/d/1SX6NBoVAgQJ6U1MVXOaj8PK2l7WJ3RER9xtqwdhxkhw/edit?usp=sharing"",""กาญจนบุรี!J169"")"),0.0)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1">
        <f>IFERROR(__xludf.DUMMYFUNCTION("IMPORTRANGE(""https://docs.google.com/spreadsheets/d/1Yj_ptqi66GCucihVvJfMjLAmec39IyEx_6qawtMGysU/edit?usp=sharing"",""สบก!CB59"")"),37000.0)</f>
        <v>37000</v>
      </c>
      <c r="N254" s="202">
        <f>IFERROR(__xludf.DUMMYFUNCTION("IMPORTRANGE(""https://docs.google.com/spreadsheets/d/1Yj_ptqi66GCucihVvJfMjLAmec39IyEx_6qawtMGysU/edit?usp=sharing"",""สบก!CC59"")"),0.0)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IFERROR(__xludf.DUMMYFUNCTION("IMPORTRANGE(""https://docs.google.com/spreadsheets/d/1Yj_ptqi66GCucihVvJfMjLAmec39IyEx_6qawtMGysU/edit?usp=sharing"",""สบก!BX59"")"),0.0)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IFERROR(__xludf.DUMMYFUNCTION("IMPORTRANGE(""https://docs.google.com/spreadsheets/d/1Yj_ptqi66GCucihVvJfMjLAmec39IyEx_6qawtMGysU/edit?usp=sharing"",""สบก!BY59"")"),71400.0)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IFERROR(__xludf.DUMMYFUNCTION("IMPORTRANGE(""https://docs.google.com/spreadsheets/d/1Yj_ptqi66GCucihVvJfMjLAmec39IyEx_6qawtMGysU/edit?usp=sharing"",""สบก!BZ59"")"),0.0)</f>
        <v>0</v>
      </c>
      <c r="M258" s="125"/>
      <c r="N258" s="115">
        <f>IFERROR(__xludf.DUMMYFUNCTION("IMPORTRANGE(""https://docs.google.com/spreadsheets/d/1Yj_ptqi66GCucihVvJfMjLAmec39IyEx_6qawtMGysU/edit?usp=sharing"",""สบก!CD59"")"),0.0)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IFERROR(__xludf.DUMMYFUNCTION("IMPORTRANGE(""https://docs.google.com/spreadsheets/d/1SX6NBoVAgQJ6U1MVXOaj8PK2l7WJ3RER9xtqwdhxkhw/edit?usp=sharing"",""กาญจนบุรี!J175"")"),0.0)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IFERROR(__xludf.DUMMYFUNCTION("IMPORTRANGE(""https://docs.google.com/spreadsheets/d/1SX6NBoVAgQJ6U1MVXOaj8PK2l7WJ3RER9xtqwdhxkhw/edit?usp=sharing"",""กาญจนบุรี!J176"")"),1.0)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IFERROR(__xludf.DUMMYFUNCTION("IMPORTRANGE(""https://docs.google.com/spreadsheets/d/1SX6NBoVAgQJ6U1MVXOaj8PK2l7WJ3RER9xtqwdhxkhw/edit?usp=sharing"",""กาญจนบุรี!J177"")"),1.0)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IFERROR(__xludf.DUMMYFUNCTION("IMPORTRANGE(""https://docs.google.com/spreadsheets/d/1SX6NBoVAgQJ6U1MVXOaj8PK2l7WJ3RER9xtqwdhxkhw/edit?usp=sharing"",""กาญจนบุรี!J178"")"),1.0)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IFERROR(__xludf.DUMMYFUNCTION("IMPORTRANGE(""https://docs.google.com/spreadsheets/d/1SX6NBoVAgQJ6U1MVXOaj8PK2l7WJ3RER9xtqwdhxkhw/edit?usp=sharing"",""กาญจนบุรี!I179"")"),1.0)</f>
        <v>1</v>
      </c>
      <c r="J264" s="223">
        <f>IFERROR(__xludf.DUMMYFUNCTION("IMPORTRANGE(""https://docs.google.com/spreadsheets/d/1SX6NBoVAgQJ6U1MVXOaj8PK2l7WJ3RER9xtqwdhxkhw/edit?usp=sharing"",""กาญจนบุรี!J179"")"),0.0)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IFERROR(__xludf.DUMMYFUNCTION("IMPORTRANGE(""https://docs.google.com/spreadsheets/d/1SX6NBoVAgQJ6U1MVXOaj8PK2l7WJ3RER9xtqwdhxkhw/edit?usp=sharing"",""กาญจนบุรี!I180"")"),20.0)</f>
        <v>20</v>
      </c>
      <c r="J265" s="223">
        <f>IFERROR(__xludf.DUMMYFUNCTION("IMPORTRANGE(""https://docs.google.com/spreadsheets/d/1SX6NBoVAgQJ6U1MVXOaj8PK2l7WJ3RER9xtqwdhxkhw/edit?usp=sharing"",""กาญจนบุรี!J180"")"),0.0)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IFERROR(__xludf.DUMMYFUNCTION("IMPORTRANGE(""https://docs.google.com/spreadsheets/d/1SX6NBoVAgQJ6U1MVXOaj8PK2l7WJ3RER9xtqwdhxkhw/edit?usp=sharing"",""กาญจนบุรี!I181"")"),20.0)</f>
        <v>20</v>
      </c>
      <c r="J266" s="223">
        <f>IFERROR(__xludf.DUMMYFUNCTION("IMPORTRANGE(""https://docs.google.com/spreadsheets/d/1SX6NBoVAgQJ6U1MVXOaj8PK2l7WJ3RER9xtqwdhxkhw/edit?usp=sharing"",""กาญจนบุรี!J181"")"),0.0)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IFERROR(__xludf.DUMMYFUNCTION("IMPORTRANGE(""https://docs.google.com/spreadsheets/d/1SX6NBoVAgQJ6U1MVXOaj8PK2l7WJ3RER9xtqwdhxkhw/edit?usp=sharing"",""กาญจนบุรี!I182"")"),1.0)</f>
        <v>1</v>
      </c>
      <c r="J267" s="223">
        <f>IFERROR(__xludf.DUMMYFUNCTION("IMPORTRANGE(""https://docs.google.com/spreadsheets/d/1SX6NBoVAgQJ6U1MVXOaj8PK2l7WJ3RER9xtqwdhxkhw/edit?usp=sharing"",""กาญจนบุรี!J182"")"),0.0)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IFERROR(__xludf.DUMMYFUNCTION("IMPORTRANGE(""https://docs.google.com/spreadsheets/d/1SX6NBoVAgQJ6U1MVXOaj8PK2l7WJ3RER9xtqwdhxkhw/edit?usp=sharing"",""กาญจนบุรี!J183"")"),0.0)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IFERROR(__xludf.DUMMYFUNCTION("IMPORTRANGE(""https://docs.google.com/spreadsheets/d/1SX6NBoVAgQJ6U1MVXOaj8PK2l7WJ3RER9xtqwdhxkhw/edit?usp=sharing"",""กาญจนบุรี!J184"")"),0.0)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IFERROR(__xludf.DUMMYFUNCTION("IMPORTRANGE(""https://docs.google.com/spreadsheets/d/1SX6NBoVAgQJ6U1MVXOaj8PK2l7WJ3RER9xtqwdhxkhw/edit?usp=sharing"",""กาญจนบุรี!I185"")"),20.0)</f>
        <v>20</v>
      </c>
      <c r="J270" s="349">
        <f>IFERROR(__xludf.DUMMYFUNCTION("IMPORTRANGE(""https://docs.google.com/spreadsheets/d/1SX6NBoVAgQJ6U1MVXOaj8PK2l7WJ3RER9xtqwdhxkhw/edit?usp=sharing"",""กาญจนบุรี!J185"")"),20.0)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88000</v>
      </c>
      <c r="N271" s="183">
        <f t="shared" si="84"/>
        <v>45160</v>
      </c>
      <c r="O271" s="182">
        <f t="shared" ref="O271:O273" si="86">IF(L271&gt;0,N271*100/L271,0)</f>
        <v>24.59694989</v>
      </c>
      <c r="P271" s="182">
        <f t="shared" ref="P271:P273" si="87">IF(M271&gt;0,N271*100/M271,0)</f>
        <v>51.31818182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88000</v>
      </c>
      <c r="N273" s="188">
        <f t="shared" si="88"/>
        <v>45160</v>
      </c>
      <c r="O273" s="187">
        <f t="shared" si="86"/>
        <v>24.59694989</v>
      </c>
      <c r="P273" s="187">
        <f t="shared" si="87"/>
        <v>51.31818182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IFERROR(__xludf.DUMMYFUNCTION("IMPORTRANGE(""https://docs.google.com/spreadsheets/d/1Yj_ptqi66GCucihVvJfMjLAmec39IyEx_6qawtMGysU/edit?usp=sharing"",""สบก!CK59"")"),88000.0)</f>
        <v>88000</v>
      </c>
      <c r="N275" s="202">
        <f>IFERROR(__xludf.DUMMYFUNCTION("IMPORTRANGE(""https://docs.google.com/spreadsheets/d/1Yj_ptqi66GCucihVvJfMjLAmec39IyEx_6qawtMGysU/edit?usp=sharing"",""สบก!CL59"")"),45160.0)</f>
        <v>45160</v>
      </c>
      <c r="O275" s="203">
        <f>IF(L275&gt;0,N275*100/L275,0)</f>
        <v>24.59694989</v>
      </c>
      <c r="P275" s="203">
        <f>IF(M275&gt;0,N275*100/M275,0)</f>
        <v>51.31818182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IFERROR(__xludf.DUMMYFUNCTION("IMPORTRANGE(""https://docs.google.com/spreadsheets/d/1Yj_ptqi66GCucihVvJfMjLAmec39IyEx_6qawtMGysU/edit?usp=sharing"",""สบก!CG59"")"),0.0)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IFERROR(__xludf.DUMMYFUNCTION("IMPORTRANGE(""https://docs.google.com/spreadsheets/d/1Yj_ptqi66GCucihVvJfMjLAmec39IyEx_6qawtMGysU/edit?usp=sharing"",""สบก!CH59"")"),183600.0)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IFERROR(__xludf.DUMMYFUNCTION("IMPORTRANGE(""https://docs.google.com/spreadsheets/d/1Yj_ptqi66GCucihVvJfMjLAmec39IyEx_6qawtMGysU/edit?usp=sharing"",""สบก!CI59"")"),0.0)</f>
        <v>0</v>
      </c>
      <c r="M279" s="125"/>
      <c r="N279" s="115">
        <f>IFERROR(__xludf.DUMMYFUNCTION("IMPORTRANGE(""https://docs.google.com/spreadsheets/d/1Yj_ptqi66GCucihVvJfMjLAmec39IyEx_6qawtMGysU/edit?usp=sharing"",""สบก!CM59"")"),0.0)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IFERROR(__xludf.DUMMYFUNCTION("IMPORTRANGE(""https://docs.google.com/spreadsheets/d/1SX6NBoVAgQJ6U1MVXOaj8PK2l7WJ3RER9xtqwdhxkhw/edit?usp=sharing"",""กาญจนบุรี!J191"")"),0.0)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IFERROR(__xludf.DUMMYFUNCTION("IMPORTRANGE(""https://docs.google.com/spreadsheets/d/1SX6NBoVAgQJ6U1MVXOaj8PK2l7WJ3RER9xtqwdhxkhw/edit?usp=sharing"",""กาญจนบุรี!J192"")"),1.0)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IFERROR(__xludf.DUMMYFUNCTION("IMPORTRANGE(""https://docs.google.com/spreadsheets/d/1SX6NBoVAgQJ6U1MVXOaj8PK2l7WJ3RER9xtqwdhxkhw/edit?usp=sharing"",""กาญจนบุรี!J193"")"),1.0)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IFERROR(__xludf.DUMMYFUNCTION("IMPORTRANGE(""https://docs.google.com/spreadsheets/d/1SX6NBoVAgQJ6U1MVXOaj8PK2l7WJ3RER9xtqwdhxkhw/edit?usp=sharing"",""กาญจนบุรี!J194"")"),1.0)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IFERROR(__xludf.DUMMYFUNCTION("IMPORTRANGE(""https://docs.google.com/spreadsheets/d/1SX6NBoVAgQJ6U1MVXOaj8PK2l7WJ3RER9xtqwdhxkhw/edit?usp=sharing"",""กาญจนบุรี!I195"")"),20.0)</f>
        <v>20</v>
      </c>
      <c r="J285" s="223">
        <f>IFERROR(__xludf.DUMMYFUNCTION("IMPORTRANGE(""https://docs.google.com/spreadsheets/d/1SX6NBoVAgQJ6U1MVXOaj8PK2l7WJ3RER9xtqwdhxkhw/edit?usp=sharing"",""กาญจนบุรี!J195"")"),20.0)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IFERROR(__xludf.DUMMYFUNCTION("IMPORTRANGE(""https://docs.google.com/spreadsheets/d/1SX6NBoVAgQJ6U1MVXOaj8PK2l7WJ3RER9xtqwdhxkhw/edit?usp=sharing"",""กาญจนบุรี!J196"")"),0.0)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IFERROR(__xludf.DUMMYFUNCTION("IMPORTRANGE(""https://docs.google.com/spreadsheets/d/1SX6NBoVAgQJ6U1MVXOaj8PK2l7WJ3RER9xtqwdhxkhw/edit?usp=sharing"",""กาญจนบุรี!J197"")"),0.0)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IFERROR(__xludf.DUMMYFUNCTION("IMPORTRANGE(""https://docs.google.com/spreadsheets/d/1SX6NBoVAgQJ6U1MVXOaj8PK2l7WJ3RER9xtqwdhxkhw/edit?usp=sharing"",""กาญจนบุรี!I199"")"),30.0)</f>
        <v>30</v>
      </c>
      <c r="J289" s="349">
        <f>IFERROR(__xludf.DUMMYFUNCTION("IMPORTRANGE(""https://docs.google.com/spreadsheets/d/1SX6NBoVAgQJ6U1MVXOaj8PK2l7WJ3RER9xtqwdhxkhw/edit?usp=sharing"",""กาญจนบุรี!J199"")"),0.0)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217860</v>
      </c>
      <c r="M290" s="183">
        <f t="shared" si="89"/>
        <v>45580</v>
      </c>
      <c r="N290" s="183">
        <f t="shared" si="89"/>
        <v>126050</v>
      </c>
      <c r="O290" s="182">
        <f t="shared" ref="O290:O292" si="91">IF(L290&gt;0,N290*100/L290,0)</f>
        <v>57.8582576</v>
      </c>
      <c r="P290" s="182">
        <f t="shared" ref="P290:P292" si="92">IF(M290&gt;0,N290*100/M290,0)</f>
        <v>276.546731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217860</v>
      </c>
      <c r="M292" s="188">
        <f t="shared" si="93"/>
        <v>45580</v>
      </c>
      <c r="N292" s="188">
        <f t="shared" si="93"/>
        <v>126050</v>
      </c>
      <c r="O292" s="187">
        <f t="shared" si="91"/>
        <v>57.8582576</v>
      </c>
      <c r="P292" s="187">
        <f t="shared" si="92"/>
        <v>276.546731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95360</v>
      </c>
      <c r="M294" s="201">
        <f>IFERROR(__xludf.DUMMYFUNCTION("IMPORTRANGE(""https://docs.google.com/spreadsheets/d/1Yj_ptqi66GCucihVvJfMjLAmec39IyEx_6qawtMGysU/edit?usp=sharing"",""สบก!CT59"")"),45580.0)</f>
        <v>45580</v>
      </c>
      <c r="N294" s="202">
        <f>IFERROR(__xludf.DUMMYFUNCTION("IMPORTRANGE(""https://docs.google.com/spreadsheets/d/1Yj_ptqi66GCucihVvJfMjLAmec39IyEx_6qawtMGysU/edit?usp=sharing"",""สบก!CU59"")"),3550.0)</f>
        <v>3550</v>
      </c>
      <c r="O294" s="203">
        <f>IF(L294&gt;0,N294*100/L294,0)</f>
        <v>3.722734899</v>
      </c>
      <c r="P294" s="203">
        <f>IF(M294&gt;0,N294*100/M294,0)</f>
        <v>7.78850373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IFERROR(__xludf.DUMMYFUNCTION("IMPORTRANGE(""https://docs.google.com/spreadsheets/d/1Yj_ptqi66GCucihVvJfMjLAmec39IyEx_6qawtMGysU/edit?usp=sharing"",""สบก!CP59"")"),0.0)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IFERROR(__xludf.DUMMYFUNCTION("IMPORTRANGE(""https://docs.google.com/spreadsheets/d/1Yj_ptqi66GCucihVvJfMjLAmec39IyEx_6qawtMGysU/edit?usp=sharing"",""สบก!CQ59"")"),95360.0)</f>
        <v>95360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IFERROR(__xludf.DUMMYFUNCTION("IMPORTRANGE(""https://docs.google.com/spreadsheets/d/1Yj_ptqi66GCucihVvJfMjLAmec39IyEx_6qawtMGysU/edit?usp=sharing"",""สบก!CR59"")"),122500.0)</f>
        <v>122500</v>
      </c>
      <c r="M298" s="125"/>
      <c r="N298" s="115">
        <f>IFERROR(__xludf.DUMMYFUNCTION("IMPORTRANGE(""https://docs.google.com/spreadsheets/d/1Yj_ptqi66GCucihVvJfMjLAmec39IyEx_6qawtMGysU/edit?usp=sharing"",""สบก!CV59"")"),122500.0)</f>
        <v>122500</v>
      </c>
      <c r="O298" s="125">
        <f>IF(L298&gt;0,N298*100/L298,0)</f>
        <v>100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IFERROR(__xludf.DUMMYFUNCTION("IMPORTRANGE(""https://docs.google.com/spreadsheets/d/1SX6NBoVAgQJ6U1MVXOaj8PK2l7WJ3RER9xtqwdhxkhw/edit?usp=sharing"",""กาญจนบุรี!J205"")"),0.0)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IFERROR(__xludf.DUMMYFUNCTION("IMPORTRANGE(""https://docs.google.com/spreadsheets/d/1SX6NBoVAgQJ6U1MVXOaj8PK2l7WJ3RER9xtqwdhxkhw/edit?usp=sharing"",""กาญจนบุรี!J206"")"),1.0)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IFERROR(__xludf.DUMMYFUNCTION("IMPORTRANGE(""https://docs.google.com/spreadsheets/d/1SX6NBoVAgQJ6U1MVXOaj8PK2l7WJ3RER9xtqwdhxkhw/edit?usp=sharing"",""กาญจนบุรี!J207"")"),1.0)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IFERROR(__xludf.DUMMYFUNCTION("IMPORTRANGE(""https://docs.google.com/spreadsheets/d/1SX6NBoVAgQJ6U1MVXOaj8PK2l7WJ3RER9xtqwdhxkhw/edit?usp=sharing"",""กาญจนบุรี!J208"")"),1.0)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IFERROR(__xludf.DUMMYFUNCTION("IMPORTRANGE(""https://docs.google.com/spreadsheets/d/1SX6NBoVAgQJ6U1MVXOaj8PK2l7WJ3RER9xtqwdhxkhw/edit?usp=sharing"",""กาญจนบุรี!I209"")"),30.0)</f>
        <v>30</v>
      </c>
      <c r="J304" s="238">
        <f>IFERROR(__xludf.DUMMYFUNCTION("IMPORTRANGE(""https://docs.google.com/spreadsheets/d/1SX6NBoVAgQJ6U1MVXOaj8PK2l7WJ3RER9xtqwdhxkhw/edit?usp=sharing"",""กาญจนบุรี!J209"")"),0.0)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IFERROR(__xludf.DUMMYFUNCTION("IMPORTRANGE(""https://docs.google.com/spreadsheets/d/1SX6NBoVAgQJ6U1MVXOaj8PK2l7WJ3RER9xtqwdhxkhw/edit?usp=sharing"",""กาญจนบุรี!I211"")"),30.0)</f>
        <v>30</v>
      </c>
      <c r="J306" s="238">
        <f>IFERROR(__xludf.DUMMYFUNCTION("IMPORTRANGE(""https://docs.google.com/spreadsheets/d/1SX6NBoVAgQJ6U1MVXOaj8PK2l7WJ3RER9xtqwdhxkhw/edit?usp=sharing"",""กาญจนบุรี!J211"")"),0.0)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IFERROR(__xludf.DUMMYFUNCTION("IMPORTRANGE(""https://docs.google.com/spreadsheets/d/1SX6NBoVAgQJ6U1MVXOaj8PK2l7WJ3RER9xtqwdhxkhw/edit?usp=sharing"",""กาญจนบุรี!J212"")"),0.0)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IFERROR(__xludf.DUMMYFUNCTION("IMPORTRANGE(""https://docs.google.com/spreadsheets/d/1SX6NBoVAgQJ6U1MVXOaj8PK2l7WJ3RER9xtqwdhxkhw/edit?usp=sharing"",""กาญจนบุรี!J213"")"),0.0)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IFERROR(__xludf.DUMMYFUNCTION("IMPORTRANGE(""https://docs.google.com/spreadsheets/d/1SX6NBoVAgQJ6U1MVXOaj8PK2l7WJ3RER9xtqwdhxkhw/edit?usp=sharing"",""กาญจนบุรี!I214"")"),3.0)</f>
        <v>3</v>
      </c>
      <c r="J309" s="366">
        <f>IFERROR(__xludf.DUMMYFUNCTION("IMPORTRANGE(""https://docs.google.com/spreadsheets/d/1SX6NBoVAgQJ6U1MVXOaj8PK2l7WJ3RER9xtqwdhxkhw/edit?usp=sharing"",""กาญจนบุรี!J214"")"),0.0)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264600</v>
      </c>
      <c r="M310" s="183">
        <f t="shared" si="94"/>
        <v>132300</v>
      </c>
      <c r="N310" s="183">
        <f t="shared" si="94"/>
        <v>64110</v>
      </c>
      <c r="O310" s="182">
        <f t="shared" ref="O310:O312" si="96">IF(L310&gt;0,N310*100/L310,0)</f>
        <v>24.22902494</v>
      </c>
      <c r="P310" s="182">
        <f t="shared" ref="P310:P312" si="97">IF(M310&gt;0,N310*100/M310,0)</f>
        <v>48.45804989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264600</v>
      </c>
      <c r="M312" s="188">
        <f t="shared" si="98"/>
        <v>132300</v>
      </c>
      <c r="N312" s="188">
        <f t="shared" si="98"/>
        <v>64110</v>
      </c>
      <c r="O312" s="187">
        <f t="shared" si="96"/>
        <v>24.22902494</v>
      </c>
      <c r="P312" s="187">
        <f t="shared" si="97"/>
        <v>48.45804989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264600</v>
      </c>
      <c r="M314" s="201">
        <f>IFERROR(__xludf.DUMMYFUNCTION("IMPORTRANGE(""https://docs.google.com/spreadsheets/d/1Yj_ptqi66GCucihVvJfMjLAmec39IyEx_6qawtMGysU/edit?usp=sharing"",""สบก!DC59"")"),132300.0)</f>
        <v>132300</v>
      </c>
      <c r="N314" s="202">
        <f>IFERROR(__xludf.DUMMYFUNCTION("IMPORTRANGE(""https://docs.google.com/spreadsheets/d/1Yj_ptqi66GCucihVvJfMjLAmec39IyEx_6qawtMGysU/edit?usp=sharing"",""สบก!DD59"")"),64110.0)</f>
        <v>64110</v>
      </c>
      <c r="O314" s="203">
        <f>IF(L314&gt;0,N314*100/L314,0)</f>
        <v>24.22902494</v>
      </c>
      <c r="P314" s="203">
        <f>IF(M314&gt;0,N314*100/M314,0)</f>
        <v>48.45804989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IFERROR(__xludf.DUMMYFUNCTION("IMPORTRANGE(""https://docs.google.com/spreadsheets/d/1Yj_ptqi66GCucihVvJfMjLAmec39IyEx_6qawtMGysU/edit?usp=sharing"",""สบก!CY59"")"),0.0)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IFERROR(__xludf.DUMMYFUNCTION("IMPORTRANGE(""https://docs.google.com/spreadsheets/d/1Yj_ptqi66GCucihVvJfMjLAmec39IyEx_6qawtMGysU/edit?usp=sharing"",""สบก!CZ59"")"),264600.0)</f>
        <v>264600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IFERROR(__xludf.DUMMYFUNCTION("IMPORTRANGE(""https://docs.google.com/spreadsheets/d/1Yj_ptqi66GCucihVvJfMjLAmec39IyEx_6qawtMGysU/edit?usp=sharing"",""สบก!DA59"")"),0.0)</f>
        <v>0</v>
      </c>
      <c r="M318" s="125"/>
      <c r="N318" s="115">
        <f>IFERROR(__xludf.DUMMYFUNCTION("IMPORTRANGE(""https://docs.google.com/spreadsheets/d/1Yj_ptqi66GCucihVvJfMjLAmec39IyEx_6qawtMGysU/edit?usp=sharing"",""สบก!DE59"")"),0.0)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IFERROR(__xludf.DUMMYFUNCTION("IMPORTRANGE(""https://docs.google.com/spreadsheets/d/1SX6NBoVAgQJ6U1MVXOaj8PK2l7WJ3RER9xtqwdhxkhw/edit?usp=sharing"",""กาญจนบุรี!J220"")"),0.0)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IFERROR(__xludf.DUMMYFUNCTION("IMPORTRANGE(""https://docs.google.com/spreadsheets/d/1SX6NBoVAgQJ6U1MVXOaj8PK2l7WJ3RER9xtqwdhxkhw/edit?usp=sharing"",""กาญจนบุรี!J221"")"),1.0)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IFERROR(__xludf.DUMMYFUNCTION("IMPORTRANGE(""https://docs.google.com/spreadsheets/d/1SX6NBoVAgQJ6U1MVXOaj8PK2l7WJ3RER9xtqwdhxkhw/edit?usp=sharing"",""กาญจนบุรี!J222"")"),0.0)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IFERROR(__xludf.DUMMYFUNCTION("IMPORTRANGE(""https://docs.google.com/spreadsheets/d/1SX6NBoVAgQJ6U1MVXOaj8PK2l7WJ3RER9xtqwdhxkhw/edit?usp=sharing"",""กาญจนบุรี!J223"")"),1.0)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IFERROR(__xludf.DUMMYFUNCTION("IMPORTRANGE(""https://docs.google.com/spreadsheets/d/1SX6NBoVAgQJ6U1MVXOaj8PK2l7WJ3RER9xtqwdhxkhw/edit?usp=sharing"",""กาญจนบุรี!I224"")"),3.0)</f>
        <v>3</v>
      </c>
      <c r="J324" s="238">
        <f>IFERROR(__xludf.DUMMYFUNCTION("IMPORTRANGE(""https://docs.google.com/spreadsheets/d/1SX6NBoVAgQJ6U1MVXOaj8PK2l7WJ3RER9xtqwdhxkhw/edit?usp=sharing"",""กาญจนบุรี!J224"")"),0.0)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IFERROR(__xludf.DUMMYFUNCTION("IMPORTRANGE(""https://docs.google.com/spreadsheets/d/1SX6NBoVAgQJ6U1MVXOaj8PK2l7WJ3RER9xtqwdhxkhw/edit?usp=sharing"",""กาญจนบุรี!J225"")"),0.0)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IFERROR(__xludf.DUMMYFUNCTION("IMPORTRANGE(""https://docs.google.com/spreadsheets/d/1SX6NBoVAgQJ6U1MVXOaj8PK2l7WJ3RER9xtqwdhxkhw/edit?usp=sharing"",""กาญจนบุรี!J226"")"),0.0)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IFERROR(__xludf.DUMMYFUNCTION("IMPORTRANGE(""https://docs.google.com/spreadsheets/d/1SX6NBoVAgQJ6U1MVXOaj8PK2l7WJ3RER9xtqwdhxkhw/edit?usp=sharing"",""กาญจนบุรี!I228"")"),220.0)</f>
        <v>220</v>
      </c>
      <c r="J328" s="372">
        <f>IFERROR(__xludf.DUMMYFUNCTION("IMPORTRANGE(""https://docs.google.com/spreadsheets/d/1SX6NBoVAgQJ6U1MVXOaj8PK2l7WJ3RER9xtqwdhxkhw/edit?usp=sharing"",""กาญจนบุรี!J228"")"),0.0)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1010640</v>
      </c>
      <c r="M329" s="183">
        <f t="shared" si="99"/>
        <v>537160</v>
      </c>
      <c r="N329" s="183">
        <f t="shared" si="99"/>
        <v>324391</v>
      </c>
      <c r="O329" s="182">
        <f t="shared" ref="O329:O331" si="101">IF(L329&gt;0,N329*100/L329,0)</f>
        <v>32.09758173</v>
      </c>
      <c r="P329" s="182">
        <f t="shared" ref="P329:P331" si="102">IF(M329&gt;0,N329*100/M329,0)</f>
        <v>60.39001415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1010640</v>
      </c>
      <c r="M331" s="188">
        <f t="shared" si="103"/>
        <v>537160</v>
      </c>
      <c r="N331" s="188">
        <f t="shared" si="103"/>
        <v>324391</v>
      </c>
      <c r="O331" s="187">
        <f t="shared" si="101"/>
        <v>32.09758173</v>
      </c>
      <c r="P331" s="187">
        <f t="shared" si="102"/>
        <v>60.39001415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1010640</v>
      </c>
      <c r="M333" s="201">
        <f>IFERROR(__xludf.DUMMYFUNCTION("IMPORTRANGE(""https://docs.google.com/spreadsheets/d/1Yj_ptqi66GCucihVvJfMjLAmec39IyEx_6qawtMGysU/edit?usp=sharing"",""สบก!DL59"")"),537160.0)</f>
        <v>537160</v>
      </c>
      <c r="N333" s="202">
        <f>IFERROR(__xludf.DUMMYFUNCTION("IMPORTRANGE(""https://docs.google.com/spreadsheets/d/1Yj_ptqi66GCucihVvJfMjLAmec39IyEx_6qawtMGysU/edit?usp=sharing"",""สบก!DM59"")"),324391.0)</f>
        <v>324391</v>
      </c>
      <c r="O333" s="203">
        <f>IF(L333&gt;0,N333*100/L333,0)</f>
        <v>32.09758173</v>
      </c>
      <c r="P333" s="203">
        <f>IF(M333&gt;0,N333*100/M333,0)</f>
        <v>60.39001415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IFERROR(__xludf.DUMMYFUNCTION("IMPORTRANGE(""https://docs.google.com/spreadsheets/d/1Yj_ptqi66GCucihVvJfMjLAmec39IyEx_6qawtMGysU/edit?usp=sharing"",""สบก!DH59"")"),629200.0)</f>
        <v>629200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IFERROR(__xludf.DUMMYFUNCTION("IMPORTRANGE(""https://docs.google.com/spreadsheets/d/1Yj_ptqi66GCucihVvJfMjLAmec39IyEx_6qawtMGysU/edit?usp=sharing"",""สบก!DI59"")"),381440.0)</f>
        <v>381440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IFERROR(__xludf.DUMMYFUNCTION("IMPORTRANGE(""https://docs.google.com/spreadsheets/d/1Yj_ptqi66GCucihVvJfMjLAmec39IyEx_6qawtMGysU/edit?usp=sharing"",""สบก!DJ59"")"),0.0)</f>
        <v>0</v>
      </c>
      <c r="M337" s="125"/>
      <c r="N337" s="115">
        <f>IFERROR(__xludf.DUMMYFUNCTION("IMPORTRANGE(""https://docs.google.com/spreadsheets/d/1Yj_ptqi66GCucihVvJfMjLAmec39IyEx_6qawtMGysU/edit?usp=sharing"",""สบก!DN59"")"),0.0)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IFERROR(__xludf.DUMMYFUNCTION("IMPORTRANGE(""https://docs.google.com/spreadsheets/d/1SX6NBoVAgQJ6U1MVXOaj8PK2l7WJ3RER9xtqwdhxkhw/edit?usp=sharing"",""กาญจนบุรี!I234"")"),0.0)</f>
        <v>0</v>
      </c>
      <c r="J339" s="222">
        <f>IFERROR(__xludf.DUMMYFUNCTION("IMPORTRANGE(""https://docs.google.com/spreadsheets/d/1SX6NBoVAgQJ6U1MVXOaj8PK2l7WJ3RER9xtqwdhxkhw/edit?usp=sharing"",""กาญจนบุรี!J234"")"),39.0)</f>
        <v>39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IFERROR(__xludf.DUMMYFUNCTION("IMPORTRANGE(""https://docs.google.com/spreadsheets/d/1SX6NBoVAgQJ6U1MVXOaj8PK2l7WJ3RER9xtqwdhxkhw/edit?usp=sharing"",""กาญจนบุรี!I235"")"),1960.0)</f>
        <v>1960</v>
      </c>
      <c r="J340" s="222">
        <f>IFERROR(__xludf.DUMMYFUNCTION("IMPORTRANGE(""https://docs.google.com/spreadsheets/d/1SX6NBoVAgQJ6U1MVXOaj8PK2l7WJ3RER9xtqwdhxkhw/edit?usp=sharing"",""กาญจนบุรี!J235"")"),277.31)</f>
        <v>277.31</v>
      </c>
      <c r="K340" s="375">
        <f t="shared" si="104"/>
        <v>14.14846939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IFERROR(__xludf.DUMMYFUNCTION("IMPORTRANGE(""https://docs.google.com/spreadsheets/d/1SX6NBoVAgQJ6U1MVXOaj8PK2l7WJ3RER9xtqwdhxkhw/edit?usp=sharing"",""กาญจนบุรี!I236"")"),220.0)</f>
        <v>220</v>
      </c>
      <c r="J341" s="222">
        <f>IFERROR(__xludf.DUMMYFUNCTION("IMPORTRANGE(""https://docs.google.com/spreadsheets/d/1SX6NBoVAgQJ6U1MVXOaj8PK2l7WJ3RER9xtqwdhxkhw/edit?usp=sharing"",""กาญจนบุรี!J236"")"),4.0)</f>
        <v>4</v>
      </c>
      <c r="K341" s="375">
        <f t="shared" si="104"/>
        <v>1.818181818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IFERROR(__xludf.DUMMYFUNCTION("IMPORTRANGE(""https://docs.google.com/spreadsheets/d/1SX6NBoVAgQJ6U1MVXOaj8PK2l7WJ3RER9xtqwdhxkhw/edit?usp=sharing"",""กาญจนบุรี!I237"")"),0.0)</f>
        <v>0</v>
      </c>
      <c r="J342" s="222">
        <f>IFERROR(__xludf.DUMMYFUNCTION("IMPORTRANGE(""https://docs.google.com/spreadsheets/d/1SX6NBoVAgQJ6U1MVXOaj8PK2l7WJ3RER9xtqwdhxkhw/edit?usp=sharing"",""กาญจนบุรี!J237"")"),76.06)</f>
        <v>76.06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IFERROR(__xludf.DUMMYFUNCTION("IMPORTRANGE(""https://docs.google.com/spreadsheets/d/1SX6NBoVAgQJ6U1MVXOaj8PK2l7WJ3RER9xtqwdhxkhw/edit?usp=sharing"",""กาญจนบุรี!I238"")"),220.0)</f>
        <v>220</v>
      </c>
      <c r="J343" s="222">
        <f>IFERROR(__xludf.DUMMYFUNCTION("IMPORTRANGE(""https://docs.google.com/spreadsheets/d/1SX6NBoVAgQJ6U1MVXOaj8PK2l7WJ3RER9xtqwdhxkhw/edit?usp=sharing"",""กาญจนบุรี!J238"")"),0.0)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IFERROR(__xludf.DUMMYFUNCTION("IMPORTRANGE(""https://docs.google.com/spreadsheets/d/1SX6NBoVAgQJ6U1MVXOaj8PK2l7WJ3RER9xtqwdhxkhw/edit?usp=sharing"",""กาญจนบุรี!I239"")"),0.0)</f>
        <v>0</v>
      </c>
      <c r="J344" s="222">
        <f>IFERROR(__xludf.DUMMYFUNCTION("IMPORTRANGE(""https://docs.google.com/spreadsheets/d/1SX6NBoVAgQJ6U1MVXOaj8PK2l7WJ3RER9xtqwdhxkhw/edit?usp=sharing"",""กาญจนบุรี!J239"")"),0.0)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IFERROR(__xludf.DUMMYFUNCTION("IMPORTRANGE(""https://docs.google.com/spreadsheets/d/1SX6NBoVAgQJ6U1MVXOaj8PK2l7WJ3RER9xtqwdhxkhw/edit?usp=sharing"",""กาญจนบุรี!I240"")"),220.0)</f>
        <v>220</v>
      </c>
      <c r="J345" s="222">
        <f>IFERROR(__xludf.DUMMYFUNCTION("IMPORTRANGE(""https://docs.google.com/spreadsheets/d/1SX6NBoVAgQJ6U1MVXOaj8PK2l7WJ3RER9xtqwdhxkhw/edit?usp=sharing"",""กาญจนบุรี!J240"")"),0.0)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IFERROR(__xludf.DUMMYFUNCTION("IMPORTRANGE(""https://docs.google.com/spreadsheets/d/1SX6NBoVAgQJ6U1MVXOaj8PK2l7WJ3RER9xtqwdhxkhw/edit?usp=sharing"",""กาญจนบุรี!I241"")"),0.0)</f>
        <v>0</v>
      </c>
      <c r="J346" s="222">
        <f>IFERROR(__xludf.DUMMYFUNCTION("IMPORTRANGE(""https://docs.google.com/spreadsheets/d/1SX6NBoVAgQJ6U1MVXOaj8PK2l7WJ3RER9xtqwdhxkhw/edit?usp=sharing"",""กาญจนบุรี!J241"")"),0.0)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IFERROR(__xludf.DUMMYFUNCTION("IMPORTRANGE(""https://docs.google.com/spreadsheets/d/1SX6NBoVAgQJ6U1MVXOaj8PK2l7WJ3RER9xtqwdhxkhw/edit?usp=sharing"",""กาญจนบุรี!L242"")"),3142638.0)</f>
        <v>3142638</v>
      </c>
      <c r="M347" s="391"/>
      <c r="N347" s="391">
        <f>IFERROR(__xludf.DUMMYFUNCTION("IMPORTRANGE(""https://docs.google.com/spreadsheets/d/1SX6NBoVAgQJ6U1MVXOaj8PK2l7WJ3RER9xtqwdhxkhw/edit?usp=sharing"",""กาญจนบุรี!M242"")"),478003.79)</f>
        <v>478003.79</v>
      </c>
      <c r="O347" s="391">
        <f>+IF(L347&gt;0,N347*100/L347,0)</f>
        <v>15.21027207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IFERROR(__xludf.DUMMYFUNCTION("IMPORTRANGE(""https://docs.google.com/spreadsheets/d/1SX6NBoVAgQJ6U1MVXOaj8PK2l7WJ3RER9xtqwdhxkhw/edit?usp=sharing"",""กาญจนบุรี!I244"")"),150.0)</f>
        <v>150</v>
      </c>
      <c r="J349" s="404">
        <f>IFERROR(__xludf.DUMMYFUNCTION("IMPORTRANGE(""https://docs.google.com/spreadsheets/d/1SX6NBoVAgQJ6U1MVXOaj8PK2l7WJ3RER9xtqwdhxkhw/edit?usp=sharing"",""กาญจนบุรี!J244"")"),0.0)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IFERROR(__xludf.DUMMYFUNCTION("IMPORTRANGE(""https://docs.google.com/spreadsheets/d/1SX6NBoVAgQJ6U1MVXOaj8PK2l7WJ3RER9xtqwdhxkhw/edit?usp=sharing"",""กาญจนบุรี!L244"")"),380760.0)</f>
        <v>380760</v>
      </c>
      <c r="M349" s="406"/>
      <c r="N349" s="406">
        <f>IFERROR(__xludf.DUMMYFUNCTION("IMPORTRANGE(""https://docs.google.com/spreadsheets/d/1SX6NBoVAgQJ6U1MVXOaj8PK2l7WJ3RER9xtqwdhxkhw/edit?usp=sharing"",""กาญจนบุรี!M244"")"),69057.0)</f>
        <v>69057</v>
      </c>
      <c r="O349" s="406">
        <f>+IF(L349&gt;0,N349*100/L349,0)</f>
        <v>18.13662149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IFERROR(__xludf.DUMMYFUNCTION("IMPORTRANGE(""https://docs.google.com/spreadsheets/d/1SX6NBoVAgQJ6U1MVXOaj8PK2l7WJ3RER9xtqwdhxkhw/edit?usp=sharing"",""กาญจนบุรี!I245"")"),30.0)</f>
        <v>30</v>
      </c>
      <c r="J350" s="404">
        <f>IFERROR(__xludf.DUMMYFUNCTION("IMPORTRANGE(""https://docs.google.com/spreadsheets/d/1SX6NBoVAgQJ6U1MVXOaj8PK2l7WJ3RER9xtqwdhxkhw/edit?usp=sharing"",""กาญจนบุรี!J245"")"),0.0)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IFERROR(__xludf.DUMMYFUNCTION("IMPORTRANGE(""https://docs.google.com/spreadsheets/d/1SX6NBoVAgQJ6U1MVXOaj8PK2l7WJ3RER9xtqwdhxkhw/edit?usp=sharing"",""กาญจนบุรี!L246"")"),0.0)</f>
        <v>0</v>
      </c>
      <c r="M351" s="197"/>
      <c r="N351" s="197">
        <f>IFERROR(__xludf.DUMMYFUNCTION("IMPORTRANGE(""https://docs.google.com/spreadsheets/d/1SX6NBoVAgQJ6U1MVXOaj8PK2l7WJ3RER9xtqwdhxkhw/edit?usp=sharing"",""กาญจนบุรี!M246"")"),0.0)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IFERROR(__xludf.DUMMYFUNCTION("IMPORTRANGE(""https://docs.google.com/spreadsheets/d/1SX6NBoVAgQJ6U1MVXOaj8PK2l7WJ3RER9xtqwdhxkhw/edit?usp=sharing"",""กาญจนบุรี!L247"")"),380760.0)</f>
        <v>380760</v>
      </c>
      <c r="M352" s="198"/>
      <c r="N352" s="197">
        <f>IFERROR(__xludf.DUMMYFUNCTION("IMPORTRANGE(""https://docs.google.com/spreadsheets/d/1SX6NBoVAgQJ6U1MVXOaj8PK2l7WJ3RER9xtqwdhxkhw/edit?usp=sharing"",""กาญจนบุรี!M247"")"),69057.0)</f>
        <v>69057</v>
      </c>
      <c r="O352" s="198">
        <f t="shared" si="106"/>
        <v>18.13662149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IFERROR(__xludf.DUMMYFUNCTION("IMPORTRANGE(""https://docs.google.com/spreadsheets/d/1SX6NBoVAgQJ6U1MVXOaj8PK2l7WJ3RER9xtqwdhxkhw/edit?usp=sharing"",""กาญจนบุรี!L248"")"),0.0)</f>
        <v>0</v>
      </c>
      <c r="M353" s="203"/>
      <c r="N353" s="203">
        <f>IFERROR(__xludf.DUMMYFUNCTION("IMPORTRANGE(""https://docs.google.com/spreadsheets/d/1SX6NBoVAgQJ6U1MVXOaj8PK2l7WJ3RER9xtqwdhxkhw/edit?usp=sharing"",""กาญจนบุรี!M248"")"),0.0)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IFERROR(__xludf.DUMMYFUNCTION("IMPORTRANGE(""https://docs.google.com/spreadsheets/d/1SX6NBoVAgQJ6U1MVXOaj8PK2l7WJ3RER9xtqwdhxkhw/edit?usp=sharing"",""กาญจนบุรี!L249"")"),380760.0)</f>
        <v>380760</v>
      </c>
      <c r="M354" s="203"/>
      <c r="N354" s="200">
        <f>IFERROR(__xludf.DUMMYFUNCTION("IMPORTRANGE(""https://docs.google.com/spreadsheets/d/1SX6NBoVAgQJ6U1MVXOaj8PK2l7WJ3RER9xtqwdhxkhw/edit?usp=sharing"",""กาญจนบุรี!M249"")"),69057.0)</f>
        <v>69057</v>
      </c>
      <c r="O354" s="203">
        <f t="shared" si="106"/>
        <v>18.13662149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IFERROR(__xludf.DUMMYFUNCTION("IMPORTRANGE(""https://docs.google.com/spreadsheets/d/1SX6NBoVAgQJ6U1MVXOaj8PK2l7WJ3RER9xtqwdhxkhw/edit?usp=sharing"",""กาญจนบุรี!M250"")"),39000.0)</f>
        <v>39000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IFERROR(__xludf.DUMMYFUNCTION("IMPORTRANGE(""https://docs.google.com/spreadsheets/d/1SX6NBoVAgQJ6U1MVXOaj8PK2l7WJ3RER9xtqwdhxkhw/edit?usp=sharing"",""กาญจนบุรี!M251"")"),0.0)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IFERROR(__xludf.DUMMYFUNCTION("IMPORTRANGE(""https://docs.google.com/spreadsheets/d/1SX6NBoVAgQJ6U1MVXOaj8PK2l7WJ3RER9xtqwdhxkhw/edit?usp=sharing"",""กาญจนบุรี!M252"")"),19707.0)</f>
        <v>19707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IFERROR(__xludf.DUMMYFUNCTION("IMPORTRANGE(""https://docs.google.com/spreadsheets/d/1SX6NBoVAgQJ6U1MVXOaj8PK2l7WJ3RER9xtqwdhxkhw/edit?usp=sharing"",""กาญจนบุรี!M253"")"),10350.0)</f>
        <v>10350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IFERROR(__xludf.DUMMYFUNCTION("IMPORTRANGE(""https://docs.google.com/spreadsheets/d/1SX6NBoVAgQJ6U1MVXOaj8PK2l7WJ3RER9xtqwdhxkhw/edit?usp=sharing"",""กาญจนบุรี!J255"")"),0.0)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IFERROR(__xludf.DUMMYFUNCTION("IMPORTRANGE(""https://docs.google.com/spreadsheets/d/1SX6NBoVAgQJ6U1MVXOaj8PK2l7WJ3RER9xtqwdhxkhw/edit?usp=sharing"",""กาญจนบุรี!J256"")"),1.0)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IFERROR(__xludf.DUMMYFUNCTION("IMPORTRANGE(""https://docs.google.com/spreadsheets/d/1SX6NBoVAgQJ6U1MVXOaj8PK2l7WJ3RER9xtqwdhxkhw/edit?usp=sharing"",""กาญจนบุรี!J257"")"),1.0)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IFERROR(__xludf.DUMMYFUNCTION("IMPORTRANGE(""https://docs.google.com/spreadsheets/d/1SX6NBoVAgQJ6U1MVXOaj8PK2l7WJ3RER9xtqwdhxkhw/edit?usp=sharing"",""กาญจนบุรี!J258"")"),1.0)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IFERROR(__xludf.DUMMYFUNCTION("IMPORTRANGE(""https://docs.google.com/spreadsheets/d/1SX6NBoVAgQJ6U1MVXOaj8PK2l7WJ3RER9xtqwdhxkhw/edit?usp=sharing"",""กาญจนบุรี!J166"")"),0.0)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IFERROR(__xludf.DUMMYFUNCTION("IMPORTRANGE(""https://docs.google.com/spreadsheets/d/1SX6NBoVAgQJ6U1MVXOaj8PK2l7WJ3RER9xtqwdhxkhw/edit?usp=sharing"",""กาญจนบุรี!J166"")"),0.0)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IFERROR(__xludf.DUMMYFUNCTION("IMPORTRANGE(""https://docs.google.com/spreadsheets/d/1SX6NBoVAgQJ6U1MVXOaj8PK2l7WJ3RER9xtqwdhxkhw/edit?usp=sharing"",""กาญจนบุรี!J166"")"),0.0)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IFERROR(__xludf.DUMMYFUNCTION("IMPORTRANGE(""https://docs.google.com/spreadsheets/d/1SX6NBoVAgQJ6U1MVXOaj8PK2l7WJ3RER9xtqwdhxkhw/edit?usp=sharing"",""กาญจนบุรี!J166"")"),0.0)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IFERROR(__xludf.DUMMYFUNCTION("IMPORTRANGE(""https://docs.google.com/spreadsheets/d/1SX6NBoVAgQJ6U1MVXOaj8PK2l7WJ3RER9xtqwdhxkhw/edit?usp=sharing"",""กาญจนบุรี!I263"")"),30.0)</f>
        <v>30</v>
      </c>
      <c r="J368" s="222">
        <f>IFERROR(__xludf.DUMMYFUNCTION("IMPORTRANGE(""https://docs.google.com/spreadsheets/d/1SX6NBoVAgQJ6U1MVXOaj8PK2l7WJ3RER9xtqwdhxkhw/edit?usp=sharing"",""กาญจนบุรี!J263"")"),0.0)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IFERROR(__xludf.DUMMYFUNCTION("IMPORTRANGE(""https://docs.google.com/spreadsheets/d/1SX6NBoVAgQJ6U1MVXOaj8PK2l7WJ3RER9xtqwdhxkhw/edit?usp=sharing"",""กาญจนบุรี!I164"")"),0.0)</f>
        <v>0</v>
      </c>
      <c r="J369" s="238">
        <f>IFERROR(__xludf.DUMMYFUNCTION("IMPORTRANGE(""https://docs.google.com/spreadsheets/d/1SX6NBoVAgQJ6U1MVXOaj8PK2l7WJ3RER9xtqwdhxkhw/edit?usp=sharing"",""กาญจนบุรี!J164"")"),0.0)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IFERROR(__xludf.DUMMYFUNCTION("IMPORTRANGE(""https://docs.google.com/spreadsheets/d/1SX6NBoVAgQJ6U1MVXOaj8PK2l7WJ3RER9xtqwdhxkhw/edit?usp=sharing"",""กาญจนบุรี!I265"")"),30.0)</f>
        <v>30</v>
      </c>
      <c r="J370" s="238">
        <f>IFERROR(__xludf.DUMMYFUNCTION("IMPORTRANGE(""https://docs.google.com/spreadsheets/d/1SX6NBoVAgQJ6U1MVXOaj8PK2l7WJ3RER9xtqwdhxkhw/edit?usp=sharing"",""กาญจนบุรี!J265"")"),30.0)</f>
        <v>30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IFERROR(__xludf.DUMMYFUNCTION("IMPORTRANGE(""https://docs.google.com/spreadsheets/d/1SX6NBoVAgQJ6U1MVXOaj8PK2l7WJ3RER9xtqwdhxkhw/edit?usp=sharing"",""กาญจนบุรี!I164"")"),0.0)</f>
        <v>0</v>
      </c>
      <c r="J371" s="223">
        <f>IFERROR(__xludf.DUMMYFUNCTION("IMPORTRANGE(""https://docs.google.com/spreadsheets/d/1SX6NBoVAgQJ6U1MVXOaj8PK2l7WJ3RER9xtqwdhxkhw/edit?usp=sharing"",""กาญจนบุรี!J164"")"),0.0)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IFERROR(__xludf.DUMMYFUNCTION("IMPORTRANGE(""https://docs.google.com/spreadsheets/d/1SX6NBoVAgQJ6U1MVXOaj8PK2l7WJ3RER9xtqwdhxkhw/edit?usp=sharing"",""กาญจนบุรี!I267"")"),30.0)</f>
        <v>30</v>
      </c>
      <c r="J372" s="223">
        <f>IFERROR(__xludf.DUMMYFUNCTION("IMPORTRANGE(""https://docs.google.com/spreadsheets/d/1SX6NBoVAgQJ6U1MVXOaj8PK2l7WJ3RER9xtqwdhxkhw/edit?usp=sharing"",""กาญจนบุรี!J267"")"),0.0)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IFERROR(__xludf.DUMMYFUNCTION("IMPORTRANGE(""https://docs.google.com/spreadsheets/d/1SX6NBoVAgQJ6U1MVXOaj8PK2l7WJ3RER9xtqwdhxkhw/edit?usp=sharing"",""กาญจนบุรี!I164"")"),0.0)</f>
        <v>0</v>
      </c>
      <c r="J373" s="238">
        <f>IFERROR(__xludf.DUMMYFUNCTION("IMPORTRANGE(""https://docs.google.com/spreadsheets/d/1SX6NBoVAgQJ6U1MVXOaj8PK2l7WJ3RER9xtqwdhxkhw/edit?usp=sharing"",""กาญจนบุรี!J164"")"),0.0)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IFERROR(__xludf.DUMMYFUNCTION("IMPORTRANGE(""https://docs.google.com/spreadsheets/d/1SX6NBoVAgQJ6U1MVXOaj8PK2l7WJ3RER9xtqwdhxkhw/edit?usp=sharing"",""กาญจนบุรี!I164"")"),0.0)</f>
        <v>0</v>
      </c>
      <c r="J374" s="222">
        <f>IFERROR(__xludf.DUMMYFUNCTION("IMPORTRANGE(""https://docs.google.com/spreadsheets/d/1SX6NBoVAgQJ6U1MVXOaj8PK2l7WJ3RER9xtqwdhxkhw/edit?usp=sharing"",""กาญจนบุรี!J164"")"),0.0)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IFERROR(__xludf.DUMMYFUNCTION("IMPORTRANGE(""https://docs.google.com/spreadsheets/d/1SX6NBoVAgQJ6U1MVXOaj8PK2l7WJ3RER9xtqwdhxkhw/edit?usp=sharing"",""กาญจนบุรี!I270"")"),150.0)</f>
        <v>150</v>
      </c>
      <c r="J375" s="222">
        <f>IFERROR(__xludf.DUMMYFUNCTION("IMPORTRANGE(""https://docs.google.com/spreadsheets/d/1SX6NBoVAgQJ6U1MVXOaj8PK2l7WJ3RER9xtqwdhxkhw/edit?usp=sharing"",""กาญจนบุรี!J270"")"),0.0)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IFERROR(__xludf.DUMMYFUNCTION("IMPORTRANGE(""https://docs.google.com/spreadsheets/d/1SX6NBoVAgQJ6U1MVXOaj8PK2l7WJ3RER9xtqwdhxkhw/edit?usp=sharing"",""กาญจนบุรี!I271"")"),150.0)</f>
        <v>150</v>
      </c>
      <c r="J376" s="223">
        <f>IFERROR(__xludf.DUMMYFUNCTION("IMPORTRANGE(""https://docs.google.com/spreadsheets/d/1SX6NBoVAgQJ6U1MVXOaj8PK2l7WJ3RER9xtqwdhxkhw/edit?usp=sharing"",""กาญจนบุรี!J271"")"),0.0)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IFERROR(__xludf.DUMMYFUNCTION("IMPORTRANGE(""https://docs.google.com/spreadsheets/d/1SX6NBoVAgQJ6U1MVXOaj8PK2l7WJ3RER9xtqwdhxkhw/edit?usp=sharing"",""กาญจนบุรี!I272"")"),0.0)</f>
        <v>0</v>
      </c>
      <c r="J377" s="238">
        <f>IFERROR(__xludf.DUMMYFUNCTION("IMPORTRANGE(""https://docs.google.com/spreadsheets/d/1SX6NBoVAgQJ6U1MVXOaj8PK2l7WJ3RER9xtqwdhxkhw/edit?usp=sharing"",""กาญจนบุรี!J272"")"),0.0)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IFERROR(__xludf.DUMMYFUNCTION("IMPORTRANGE(""https://docs.google.com/spreadsheets/d/1SX6NBoVAgQJ6U1MVXOaj8PK2l7WJ3RER9xtqwdhxkhw/edit?usp=sharing"",""กาญจนบุรี!J273"")"),0.0)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IFERROR(__xludf.DUMMYFUNCTION("IMPORTRANGE(""https://docs.google.com/spreadsheets/d/1SX6NBoVAgQJ6U1MVXOaj8PK2l7WJ3RER9xtqwdhxkhw/edit?usp=sharing"",""กาญจนบุรี!J274"")"),0.0)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IFERROR(__xludf.DUMMYFUNCTION("IMPORTRANGE(""https://docs.google.com/spreadsheets/d/1SX6NBoVAgQJ6U1MVXOaj8PK2l7WJ3RER9xtqwdhxkhw/edit?usp=sharing"",""กาญจนบุรี!I275"")"),1000.0)</f>
        <v>1000</v>
      </c>
      <c r="J380" s="404">
        <f>IFERROR(__xludf.DUMMYFUNCTION("IMPORTRANGE(""https://docs.google.com/spreadsheets/d/1SX6NBoVAgQJ6U1MVXOaj8PK2l7WJ3RER9xtqwdhxkhw/edit?usp=sharing"",""กาญจนบุรี!J275"")"),0.0)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IFERROR(__xludf.DUMMYFUNCTION("IMPORTRANGE(""https://docs.google.com/spreadsheets/d/1SX6NBoVAgQJ6U1MVXOaj8PK2l7WJ3RER9xtqwdhxkhw/edit?usp=sharing"",""กาญจนบุรี!L275"")"),1028520.0)</f>
        <v>1028520</v>
      </c>
      <c r="M380" s="406"/>
      <c r="N380" s="406">
        <f>IFERROR(__xludf.DUMMYFUNCTION("IMPORTRANGE(""https://docs.google.com/spreadsheets/d/1SX6NBoVAgQJ6U1MVXOaj8PK2l7WJ3RER9xtqwdhxkhw/edit?usp=sharing"",""กาญจนบุรี!M275"")"),216701.5)</f>
        <v>216701.5</v>
      </c>
      <c r="O380" s="406">
        <f>+IF(L380&gt;0,N380*100/L380,0)</f>
        <v>21.06925485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IFERROR(__xludf.DUMMYFUNCTION("IMPORTRANGE(""https://docs.google.com/spreadsheets/d/1SX6NBoVAgQJ6U1MVXOaj8PK2l7WJ3RER9xtqwdhxkhw/edit?usp=sharing"",""กาญจนบุรี!I276"")"),100.0)</f>
        <v>100</v>
      </c>
      <c r="J381" s="404">
        <f>IFERROR(__xludf.DUMMYFUNCTION("IMPORTRANGE(""https://docs.google.com/spreadsheets/d/1SX6NBoVAgQJ6U1MVXOaj8PK2l7WJ3RER9xtqwdhxkhw/edit?usp=sharing"",""กาญจนบุรี!J276"")"),100.0)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IFERROR(__xludf.DUMMYFUNCTION("IMPORTRANGE(""https://docs.google.com/spreadsheets/d/1SX6NBoVAgQJ6U1MVXOaj8PK2l7WJ3RER9xtqwdhxkhw/edit?usp=sharing"",""กาญจนบุรี!L277"")"),0.0)</f>
        <v>0</v>
      </c>
      <c r="M382" s="197"/>
      <c r="N382" s="197">
        <f>IFERROR(__xludf.DUMMYFUNCTION("IMPORTRANGE(""https://docs.google.com/spreadsheets/d/1SX6NBoVAgQJ6U1MVXOaj8PK2l7WJ3RER9xtqwdhxkhw/edit?usp=sharing"",""กาญจนบุรี!M277"")"),0.0)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IFERROR(__xludf.DUMMYFUNCTION("IMPORTRANGE(""https://docs.google.com/spreadsheets/d/1SX6NBoVAgQJ6U1MVXOaj8PK2l7WJ3RER9xtqwdhxkhw/edit?usp=sharing"",""กาญจนบุรี!L278"")"),1028520.0)</f>
        <v>1028520</v>
      </c>
      <c r="M383" s="198"/>
      <c r="N383" s="198">
        <f>IFERROR(__xludf.DUMMYFUNCTION("IMPORTRANGE(""https://docs.google.com/spreadsheets/d/1SX6NBoVAgQJ6U1MVXOaj8PK2l7WJ3RER9xtqwdhxkhw/edit?usp=sharing"",""กาญจนบุรี!M278"")"),216701.5)</f>
        <v>216701.5</v>
      </c>
      <c r="O383" s="198">
        <f t="shared" si="110"/>
        <v>21.06925485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IFERROR(__xludf.DUMMYFUNCTION("IMPORTRANGE(""https://docs.google.com/spreadsheets/d/1SX6NBoVAgQJ6U1MVXOaj8PK2l7WJ3RER9xtqwdhxkhw/edit?usp=sharing"",""กาญจนบุรี!L279"")"),0.0)</f>
        <v>0</v>
      </c>
      <c r="M384" s="203"/>
      <c r="N384" s="203">
        <f>IFERROR(__xludf.DUMMYFUNCTION("IMPORTRANGE(""https://docs.google.com/spreadsheets/d/1SX6NBoVAgQJ6U1MVXOaj8PK2l7WJ3RER9xtqwdhxkhw/edit?usp=sharing"",""กาญจนบุรี!M279"")"),0.0)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IFERROR(__xludf.DUMMYFUNCTION("IMPORTRANGE(""https://docs.google.com/spreadsheets/d/1SX6NBoVAgQJ6U1MVXOaj8PK2l7WJ3RER9xtqwdhxkhw/edit?usp=sharing"",""กาญจนบุรี!L280"")"),1028520.0)</f>
        <v>1028520</v>
      </c>
      <c r="M385" s="203"/>
      <c r="N385" s="200">
        <f>IFERROR(__xludf.DUMMYFUNCTION("IMPORTRANGE(""https://docs.google.com/spreadsheets/d/1SX6NBoVAgQJ6U1MVXOaj8PK2l7WJ3RER9xtqwdhxkhw/edit?usp=sharing"",""กาญจนบุรี!M280"")"),216701.5)</f>
        <v>216701.5</v>
      </c>
      <c r="O385" s="203">
        <f t="shared" si="110"/>
        <v>21.06925485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IFERROR(__xludf.DUMMYFUNCTION("IMPORTRANGE(""https://docs.google.com/spreadsheets/d/1SX6NBoVAgQJ6U1MVXOaj8PK2l7WJ3RER9xtqwdhxkhw/edit?usp=sharing"",""กาญจนบุรี!M281"")"),187985.5)</f>
        <v>187985.5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IFERROR(__xludf.DUMMYFUNCTION("IMPORTRANGE(""https://docs.google.com/spreadsheets/d/1SX6NBoVAgQJ6U1MVXOaj8PK2l7WJ3RER9xtqwdhxkhw/edit?usp=sharing"",""กาญจนบุรี!M282"")"),0.0)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IFERROR(__xludf.DUMMYFUNCTION("IMPORTRANGE(""https://docs.google.com/spreadsheets/d/1SX6NBoVAgQJ6U1MVXOaj8PK2l7WJ3RER9xtqwdhxkhw/edit?usp=sharing"",""กาญจนบุรี!M283"")"),21276.0)</f>
        <v>21276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IFERROR(__xludf.DUMMYFUNCTION("IMPORTRANGE(""https://docs.google.com/spreadsheets/d/1SX6NBoVAgQJ6U1MVXOaj8PK2l7WJ3RER9xtqwdhxkhw/edit?usp=sharing"",""กาญจนบุรี!M284"")"),7440.0)</f>
        <v>7440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IFERROR(__xludf.DUMMYFUNCTION("IMPORTRANGE(""https://docs.google.com/spreadsheets/d/1SX6NBoVAgQJ6U1MVXOaj8PK2l7WJ3RER9xtqwdhxkhw/edit?usp=sharing"",""กาญจนบุรี!J286"")"),0.0)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IFERROR(__xludf.DUMMYFUNCTION("IMPORTRANGE(""https://docs.google.com/spreadsheets/d/1SX6NBoVAgQJ6U1MVXOaj8PK2l7WJ3RER9xtqwdhxkhw/edit?usp=sharing"",""กาญจนบุรี!J287"")"),1.0)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IFERROR(__xludf.DUMMYFUNCTION("IMPORTRANGE(""https://docs.google.com/spreadsheets/d/1SX6NBoVAgQJ6U1MVXOaj8PK2l7WJ3RER9xtqwdhxkhw/edit?usp=sharing"",""กาญจนบุรี!J288"")"),1.0)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IFERROR(__xludf.DUMMYFUNCTION("IMPORTRANGE(""https://docs.google.com/spreadsheets/d/1SX6NBoVAgQJ6U1MVXOaj8PK2l7WJ3RER9xtqwdhxkhw/edit?usp=sharing"",""กาญจนบุรี!J289"")"),1.0)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IFERROR(__xludf.DUMMYFUNCTION("IMPORTRANGE(""https://docs.google.com/spreadsheets/d/1SX6NBoVAgQJ6U1MVXOaj8PK2l7WJ3RER9xtqwdhxkhw/edit?usp=sharing"",""กาญจนบุรี!I291"")"),100.0)</f>
        <v>100</v>
      </c>
      <c r="J396" s="232">
        <f>IFERROR(__xludf.DUMMYFUNCTION("IMPORTRANGE(""https://docs.google.com/spreadsheets/d/1SX6NBoVAgQJ6U1MVXOaj8PK2l7WJ3RER9xtqwdhxkhw/edit?usp=sharing"",""กาญจนบุรี!J291"")"),100.0)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IFERROR(__xludf.DUMMYFUNCTION("IMPORTRANGE(""https://docs.google.com/spreadsheets/d/1SX6NBoVAgQJ6U1MVXOaj8PK2l7WJ3RER9xtqwdhxkhw/edit?usp=sharing"",""กาญจนบุรี!I292"")"),1000.0)</f>
        <v>1000</v>
      </c>
      <c r="J397" s="232">
        <f>IFERROR(__xludf.DUMMYFUNCTION("IMPORTRANGE(""https://docs.google.com/spreadsheets/d/1SX6NBoVAgQJ6U1MVXOaj8PK2l7WJ3RER9xtqwdhxkhw/edit?usp=sharing"",""กาญจนบุรี!J292"")"),0.0)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IFERROR(__xludf.DUMMYFUNCTION("IMPORTRANGE(""https://docs.google.com/spreadsheets/d/1SX6NBoVAgQJ6U1MVXOaj8PK2l7WJ3RER9xtqwdhxkhw/edit?usp=sharing"",""กาญจนบุรี!I293"")"),100.0)</f>
        <v>100</v>
      </c>
      <c r="J398" s="232">
        <f>IFERROR(__xludf.DUMMYFUNCTION("IMPORTRANGE(""https://docs.google.com/spreadsheets/d/1SX6NBoVAgQJ6U1MVXOaj8PK2l7WJ3RER9xtqwdhxkhw/edit?usp=sharing"",""กาญจนบุรี!J293"")"),0.0)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IFERROR(__xludf.DUMMYFUNCTION("IMPORTRANGE(""https://docs.google.com/spreadsheets/d/1SX6NBoVAgQJ6U1MVXOaj8PK2l7WJ3RER9xtqwdhxkhw/edit?usp=sharing"",""กาญจนบุรี!J294"")"),0.0)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IFERROR(__xludf.DUMMYFUNCTION("IMPORTRANGE(""https://docs.google.com/spreadsheets/d/1SX6NBoVAgQJ6U1MVXOaj8PK2l7WJ3RER9xtqwdhxkhw/edit?usp=sharing"",""กาญจนบุรี!J295"")"),0.0)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IFERROR(__xludf.DUMMYFUNCTION("IMPORTRANGE(""https://docs.google.com/spreadsheets/d/1SX6NBoVAgQJ6U1MVXOaj8PK2l7WJ3RER9xtqwdhxkhw/edit?usp=sharing"",""กาญจนบุรี!I296"")"),144.0)</f>
        <v>144</v>
      </c>
      <c r="J401" s="404">
        <f>IFERROR(__xludf.DUMMYFUNCTION("IMPORTRANGE(""https://docs.google.com/spreadsheets/d/1SX6NBoVAgQJ6U1MVXOaj8PK2l7WJ3RER9xtqwdhxkhw/edit?usp=sharing"",""กาญจนบุรี!J296"")"),0.0)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IFERROR(__xludf.DUMMYFUNCTION("IMPORTRANGE(""https://docs.google.com/spreadsheets/d/1SX6NBoVAgQJ6U1MVXOaj8PK2l7WJ3RER9xtqwdhxkhw/edit?usp=sharing"",""กาญจนบุรี!L296"")"),169190.0)</f>
        <v>169190</v>
      </c>
      <c r="M401" s="406"/>
      <c r="N401" s="406">
        <f>IFERROR(__xludf.DUMMYFUNCTION("IMPORTRANGE(""https://docs.google.com/spreadsheets/d/1SX6NBoVAgQJ6U1MVXOaj8PK2l7WJ3RER9xtqwdhxkhw/edit?usp=sharing"",""กาญจนบุรี!M296"")"),0.0)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IFERROR(__xludf.DUMMYFUNCTION("IMPORTRANGE(""https://docs.google.com/spreadsheets/d/1SX6NBoVAgQJ6U1MVXOaj8PK2l7WJ3RER9xtqwdhxkhw/edit?usp=sharing"",""กาญจนบุรี!I297"")"),48.0)</f>
        <v>48</v>
      </c>
      <c r="J402" s="404">
        <f>IFERROR(__xludf.DUMMYFUNCTION("IMPORTRANGE(""https://docs.google.com/spreadsheets/d/1SX6NBoVAgQJ6U1MVXOaj8PK2l7WJ3RER9xtqwdhxkhw/edit?usp=sharing"",""กาญจนบุรี!J297"")"),0.0)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IFERROR(__xludf.DUMMYFUNCTION("IMPORTRANGE(""https://docs.google.com/spreadsheets/d/1SX6NBoVAgQJ6U1MVXOaj8PK2l7WJ3RER9xtqwdhxkhw/edit?usp=sharing"",""กาญจนบุรี!L298"")"),0.0)</f>
        <v>0</v>
      </c>
      <c r="M403" s="197"/>
      <c r="N403" s="203">
        <f>IFERROR(__xludf.DUMMYFUNCTION("IMPORTRANGE(""https://docs.google.com/spreadsheets/d/1SX6NBoVAgQJ6U1MVXOaj8PK2l7WJ3RER9xtqwdhxkhw/edit?usp=sharing"",""กาญจนบุรี!M298"")"),0.0)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IFERROR(__xludf.DUMMYFUNCTION("IMPORTRANGE(""https://docs.google.com/spreadsheets/d/1SX6NBoVAgQJ6U1MVXOaj8PK2l7WJ3RER9xtqwdhxkhw/edit?usp=sharing"",""กาญจนบุรี!L299"")"),169190.0)</f>
        <v>169190</v>
      </c>
      <c r="M404" s="198"/>
      <c r="N404" s="203">
        <f>IFERROR(__xludf.DUMMYFUNCTION("IMPORTRANGE(""https://docs.google.com/spreadsheets/d/1SX6NBoVAgQJ6U1MVXOaj8PK2l7WJ3RER9xtqwdhxkhw/edit?usp=sharing"",""กาญจนบุรี!M299"")"),0.0)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IFERROR(__xludf.DUMMYFUNCTION("IMPORTRANGE(""https://docs.google.com/spreadsheets/d/1SX6NBoVAgQJ6U1MVXOaj8PK2l7WJ3RER9xtqwdhxkhw/edit?usp=sharing"",""กาญจนบุรี!L300"")"),0.0)</f>
        <v>0</v>
      </c>
      <c r="M405" s="203"/>
      <c r="N405" s="203">
        <f>IFERROR(__xludf.DUMMYFUNCTION("IMPORTRANGE(""https://docs.google.com/spreadsheets/d/1SX6NBoVAgQJ6U1MVXOaj8PK2l7WJ3RER9xtqwdhxkhw/edit?usp=sharing"",""กาญจนบุรี!M300"")"),0.0)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IFERROR(__xludf.DUMMYFUNCTION("IMPORTRANGE(""https://docs.google.com/spreadsheets/d/1SX6NBoVAgQJ6U1MVXOaj8PK2l7WJ3RER9xtqwdhxkhw/edit?usp=sharing"",""กาญจนบุรี!L301"")"),169190.0)</f>
        <v>169190</v>
      </c>
      <c r="M406" s="203"/>
      <c r="N406" s="203">
        <f>IFERROR(__xludf.DUMMYFUNCTION("IMPORTRANGE(""https://docs.google.com/spreadsheets/d/1SX6NBoVAgQJ6U1MVXOaj8PK2l7WJ3RER9xtqwdhxkhw/edit?usp=sharing"",""กาญจนบุรี!M301"")"),0.0)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IFERROR(__xludf.DUMMYFUNCTION("IMPORTRANGE(""https://docs.google.com/spreadsheets/d/1SX6NBoVAgQJ6U1MVXOaj8PK2l7WJ3RER9xtqwdhxkhw/edit?usp=sharing"",""กาญจนบุรี!M302"")"),0.0)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IFERROR(__xludf.DUMMYFUNCTION("IMPORTRANGE(""https://docs.google.com/spreadsheets/d/1SX6NBoVAgQJ6U1MVXOaj8PK2l7WJ3RER9xtqwdhxkhw/edit?usp=sharing"",""กาญจนบุรี!M303"")"),0.0)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IFERROR(__xludf.DUMMYFUNCTION("IMPORTRANGE(""https://docs.google.com/spreadsheets/d/1SX6NBoVAgQJ6U1MVXOaj8PK2l7WJ3RER9xtqwdhxkhw/edit?usp=sharing"",""กาญจนบุรี!M304"")"),0.0)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IFERROR(__xludf.DUMMYFUNCTION("IMPORTRANGE(""https://docs.google.com/spreadsheets/d/1SX6NBoVAgQJ6U1MVXOaj8PK2l7WJ3RER9xtqwdhxkhw/edit?usp=sharing"",""กาญจนบุรี!M305"")"),0.0)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IFERROR(__xludf.DUMMYFUNCTION("IMPORTRANGE(""https://docs.google.com/spreadsheets/d/1SX6NBoVAgQJ6U1MVXOaj8PK2l7WJ3RER9xtqwdhxkhw/edit?usp=sharing"",""กาญจนบุรี!J307"")"),0.0)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IFERROR(__xludf.DUMMYFUNCTION("IMPORTRANGE(""https://docs.google.com/spreadsheets/d/1SX6NBoVAgQJ6U1MVXOaj8PK2l7WJ3RER9xtqwdhxkhw/edit?usp=sharing"",""กาญจนบุรี!J308"")"),1.0)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IFERROR(__xludf.DUMMYFUNCTION("IMPORTRANGE(""https://docs.google.com/spreadsheets/d/1SX6NBoVAgQJ6U1MVXOaj8PK2l7WJ3RER9xtqwdhxkhw/edit?usp=sharing"",""กาญจนบุรี!J309"")"),1.0)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IFERROR(__xludf.DUMMYFUNCTION("IMPORTRANGE(""https://docs.google.com/spreadsheets/d/1SX6NBoVAgQJ6U1MVXOaj8PK2l7WJ3RER9xtqwdhxkhw/edit?usp=sharing"",""กาญจนบุรี!J310"")"),1.0)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IFERROR(__xludf.DUMMYFUNCTION("IMPORTRANGE(""https://docs.google.com/spreadsheets/d/1SX6NBoVAgQJ6U1MVXOaj8PK2l7WJ3RER9xtqwdhxkhw/edit?usp=sharing"",""กาญจนบุรี!I311"")"),48.0)</f>
        <v>48</v>
      </c>
      <c r="J416" s="235">
        <f>IFERROR(__xludf.DUMMYFUNCTION("IMPORTRANGE(""https://docs.google.com/spreadsheets/d/1SX6NBoVAgQJ6U1MVXOaj8PK2l7WJ3RER9xtqwdhxkhw/edit?usp=sharing"",""กาญจนบุรี!J311"")"),0.0)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IFERROR(__xludf.DUMMYFUNCTION("IMPORTRANGE(""https://docs.google.com/spreadsheets/d/1SX6NBoVAgQJ6U1MVXOaj8PK2l7WJ3RER9xtqwdhxkhw/edit?usp=sharing"",""กาญจนบุรี!I312"")"),13.0)</f>
        <v>13</v>
      </c>
      <c r="J417" s="425">
        <f>IFERROR(__xludf.DUMMYFUNCTION("IMPORTRANGE(""https://docs.google.com/spreadsheets/d/1SX6NBoVAgQJ6U1MVXOaj8PK2l7WJ3RER9xtqwdhxkhw/edit?usp=sharing"",""กาญจนบุรี!J312"")"),0.0)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IFERROR(__xludf.DUMMYFUNCTION("IMPORTRANGE(""https://docs.google.com/spreadsheets/d/1SX6NBoVAgQJ6U1MVXOaj8PK2l7WJ3RER9xtqwdhxkhw/edit?usp=sharing"",""กาญจนบุรี!I313"")"),39.0)</f>
        <v>39</v>
      </c>
      <c r="J418" s="426">
        <f>IFERROR(__xludf.DUMMYFUNCTION("IMPORTRANGE(""https://docs.google.com/spreadsheets/d/1SX6NBoVAgQJ6U1MVXOaj8PK2l7WJ3RER9xtqwdhxkhw/edit?usp=sharing"",""กาญจนบุรี!J313"")"),0.0)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IFERROR(__xludf.DUMMYFUNCTION("IMPORTRANGE(""https://docs.google.com/spreadsheets/d/1SX6NBoVAgQJ6U1MVXOaj8PK2l7WJ3RER9xtqwdhxkhw/edit?usp=sharing"",""กาญจนบุรี!I314"")"),13.0)</f>
        <v>13</v>
      </c>
      <c r="J419" s="427">
        <f>IFERROR(__xludf.DUMMYFUNCTION("IMPORTRANGE(""https://docs.google.com/spreadsheets/d/1SX6NBoVAgQJ6U1MVXOaj8PK2l7WJ3RER9xtqwdhxkhw/edit?usp=sharing"",""กาญจนบุรี!J314"")"),0.0)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IFERROR(__xludf.DUMMYFUNCTION("IMPORTRANGE(""https://docs.google.com/spreadsheets/d/1SX6NBoVAgQJ6U1MVXOaj8PK2l7WJ3RER9xtqwdhxkhw/edit?usp=sharing"",""กาญจนบุรี!I315"")"),13.0)</f>
        <v>13</v>
      </c>
      <c r="J420" s="427">
        <f>IFERROR(__xludf.DUMMYFUNCTION("IMPORTRANGE(""https://docs.google.com/spreadsheets/d/1SX6NBoVAgQJ6U1MVXOaj8PK2l7WJ3RER9xtqwdhxkhw/edit?usp=sharing"",""กาญจนบุรี!J315"")"),0.0)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IFERROR(__xludf.DUMMYFUNCTION("IMPORTRANGE(""https://docs.google.com/spreadsheets/d/1SX6NBoVAgQJ6U1MVXOaj8PK2l7WJ3RER9xtqwdhxkhw/edit?usp=sharing"",""กาญจนบุรี!I316"")"),25.0)</f>
        <v>25</v>
      </c>
      <c r="J421" s="425">
        <f>IFERROR(__xludf.DUMMYFUNCTION("IMPORTRANGE(""https://docs.google.com/spreadsheets/d/1SX6NBoVAgQJ6U1MVXOaj8PK2l7WJ3RER9xtqwdhxkhw/edit?usp=sharing"",""กาญจนบุรี!J316"")"),0.0)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IFERROR(__xludf.DUMMYFUNCTION("IMPORTRANGE(""https://docs.google.com/spreadsheets/d/1SX6NBoVAgQJ6U1MVXOaj8PK2l7WJ3RER9xtqwdhxkhw/edit?usp=sharing"",""กาญจนบุรี!I317"")"),75.0)</f>
        <v>75</v>
      </c>
      <c r="J422" s="426">
        <f>IFERROR(__xludf.DUMMYFUNCTION("IMPORTRANGE(""https://docs.google.com/spreadsheets/d/1SX6NBoVAgQJ6U1MVXOaj8PK2l7WJ3RER9xtqwdhxkhw/edit?usp=sharing"",""กาญจนบุรี!J317"")"),0.0)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IFERROR(__xludf.DUMMYFUNCTION("IMPORTRANGE(""https://docs.google.com/spreadsheets/d/1SX6NBoVAgQJ6U1MVXOaj8PK2l7WJ3RER9xtqwdhxkhw/edit?usp=sharing"",""กาญจนบุรี!I318"")"),25.0)</f>
        <v>25</v>
      </c>
      <c r="J423" s="427">
        <f>IFERROR(__xludf.DUMMYFUNCTION("IMPORTRANGE(""https://docs.google.com/spreadsheets/d/1SX6NBoVAgQJ6U1MVXOaj8PK2l7WJ3RER9xtqwdhxkhw/edit?usp=sharing"",""กาญจนบุรี!J318"")"),0.0)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IFERROR(__xludf.DUMMYFUNCTION("IMPORTRANGE(""https://docs.google.com/spreadsheets/d/1SX6NBoVAgQJ6U1MVXOaj8PK2l7WJ3RER9xtqwdhxkhw/edit?usp=sharing"",""กาญจนบุรี!I319"")"),25.0)</f>
        <v>25</v>
      </c>
      <c r="J424" s="427">
        <f>IFERROR(__xludf.DUMMYFUNCTION("IMPORTRANGE(""https://docs.google.com/spreadsheets/d/1SX6NBoVAgQJ6U1MVXOaj8PK2l7WJ3RER9xtqwdhxkhw/edit?usp=sharing"",""กาญจนบุรี!J319"")"),0.0)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IFERROR(__xludf.DUMMYFUNCTION("IMPORTRANGE(""https://docs.google.com/spreadsheets/d/1SX6NBoVAgQJ6U1MVXOaj8PK2l7WJ3RER9xtqwdhxkhw/edit?usp=sharing"",""กาญจนบุรี!I320"")"),25.0)</f>
        <v>25</v>
      </c>
      <c r="J425" s="427">
        <f>IFERROR(__xludf.DUMMYFUNCTION("IMPORTRANGE(""https://docs.google.com/spreadsheets/d/1SX6NBoVAgQJ6U1MVXOaj8PK2l7WJ3RER9xtqwdhxkhw/edit?usp=sharing"",""กาญจนบุรี!J320"")"),0.0)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IFERROR(__xludf.DUMMYFUNCTION("IMPORTRANGE(""https://docs.google.com/spreadsheets/d/1SX6NBoVAgQJ6U1MVXOaj8PK2l7WJ3RER9xtqwdhxkhw/edit?usp=sharing"",""กาญจนบุรี!I321"")"),10.0)</f>
        <v>10</v>
      </c>
      <c r="J426" s="425">
        <f>IFERROR(__xludf.DUMMYFUNCTION("IMPORTRANGE(""https://docs.google.com/spreadsheets/d/1SX6NBoVAgQJ6U1MVXOaj8PK2l7WJ3RER9xtqwdhxkhw/edit?usp=sharing"",""กาญจนบุรี!J321"")"),0.0)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IFERROR(__xludf.DUMMYFUNCTION("IMPORTRANGE(""https://docs.google.com/spreadsheets/d/1SX6NBoVAgQJ6U1MVXOaj8PK2l7WJ3RER9xtqwdhxkhw/edit?usp=sharing"",""กาญจนบุรี!I322"")"),30.0)</f>
        <v>30</v>
      </c>
      <c r="J427" s="426">
        <f>IFERROR(__xludf.DUMMYFUNCTION("IMPORTRANGE(""https://docs.google.com/spreadsheets/d/1SX6NBoVAgQJ6U1MVXOaj8PK2l7WJ3RER9xtqwdhxkhw/edit?usp=sharing"",""กาญจนบุรี!J322"")"),0.0)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IFERROR(__xludf.DUMMYFUNCTION("IMPORTRANGE(""https://docs.google.com/spreadsheets/d/1SX6NBoVAgQJ6U1MVXOaj8PK2l7WJ3RER9xtqwdhxkhw/edit?usp=sharing"",""กาญจนบุรี!I323"")"),10.0)</f>
        <v>10</v>
      </c>
      <c r="J428" s="427">
        <f>IFERROR(__xludf.DUMMYFUNCTION("IMPORTRANGE(""https://docs.google.com/spreadsheets/d/1SX6NBoVAgQJ6U1MVXOaj8PK2l7WJ3RER9xtqwdhxkhw/edit?usp=sharing"",""กาญจนบุรี!J323"")"),0.0)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IFERROR(__xludf.DUMMYFUNCTION("IMPORTRANGE(""https://docs.google.com/spreadsheets/d/1SX6NBoVAgQJ6U1MVXOaj8PK2l7WJ3RER9xtqwdhxkhw/edit?usp=sharing"",""กาญจนบุรี!I324"")"),10.0)</f>
        <v>10</v>
      </c>
      <c r="J429" s="427">
        <f>IFERROR(__xludf.DUMMYFUNCTION("IMPORTRANGE(""https://docs.google.com/spreadsheets/d/1SX6NBoVAgQJ6U1MVXOaj8PK2l7WJ3RER9xtqwdhxkhw/edit?usp=sharing"",""กาญจนบุรี!J324"")"),0.0)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IFERROR(__xludf.DUMMYFUNCTION("IMPORTRANGE(""https://docs.google.com/spreadsheets/d/1SX6NBoVAgQJ6U1MVXOaj8PK2l7WJ3RER9xtqwdhxkhw/edit?usp=sharing"",""กาญจนบุรี!I325"")"),38.0)</f>
        <v>38</v>
      </c>
      <c r="J430" s="425">
        <f>IFERROR(__xludf.DUMMYFUNCTION("IMPORTRANGE(""https://docs.google.com/spreadsheets/d/1SX6NBoVAgQJ6U1MVXOaj8PK2l7WJ3RER9xtqwdhxkhw/edit?usp=sharing"",""กาญจนบุรี!J325"")"),0.0)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IFERROR(__xludf.DUMMYFUNCTION("IMPORTRANGE(""https://docs.google.com/spreadsheets/d/1SX6NBoVAgQJ6U1MVXOaj8PK2l7WJ3RER9xtqwdhxkhw/edit?usp=sharing"",""กาญจนบุรี!I326"")"),13.0)</f>
        <v>13</v>
      </c>
      <c r="J431" s="427">
        <f>IFERROR(__xludf.DUMMYFUNCTION("IMPORTRANGE(""https://docs.google.com/spreadsheets/d/1SX6NBoVAgQJ6U1MVXOaj8PK2l7WJ3RER9xtqwdhxkhw/edit?usp=sharing"",""กาญจนบุรี!J326"")"),0.0)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IFERROR(__xludf.DUMMYFUNCTION("IMPORTRANGE(""https://docs.google.com/spreadsheets/d/1SX6NBoVAgQJ6U1MVXOaj8PK2l7WJ3RER9xtqwdhxkhw/edit?usp=sharing"",""กาญจนบุรี!I327"")"),25.0)</f>
        <v>25</v>
      </c>
      <c r="J432" s="427">
        <f>IFERROR(__xludf.DUMMYFUNCTION("IMPORTRANGE(""https://docs.google.com/spreadsheets/d/1SX6NBoVAgQJ6U1MVXOaj8PK2l7WJ3RER9xtqwdhxkhw/edit?usp=sharing"",""กาญจนบุรี!J327"")"),0.0)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IFERROR(__xludf.DUMMYFUNCTION("IMPORTRANGE(""https://docs.google.com/spreadsheets/d/1SX6NBoVAgQJ6U1MVXOaj8PK2l7WJ3RER9xtqwdhxkhw/edit?usp=sharing"",""กาญจนบุรี!J328"")"),0.0)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IFERROR(__xludf.DUMMYFUNCTION("IMPORTRANGE(""https://docs.google.com/spreadsheets/d/1SX6NBoVAgQJ6U1MVXOaj8PK2l7WJ3RER9xtqwdhxkhw/edit?usp=sharing"",""กาญจนบุรี!J329"")"),0.0)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IFERROR(__xludf.DUMMYFUNCTION("IMPORTRANGE(""https://docs.google.com/spreadsheets/d/1SX6NBoVAgQJ6U1MVXOaj8PK2l7WJ3RER9xtqwdhxkhw/edit?usp=sharing"",""กาญจนบุรี!I330"")"),40.0)</f>
        <v>40</v>
      </c>
      <c r="J435" s="443">
        <f>IFERROR(__xludf.DUMMYFUNCTION("IMPORTRANGE(""https://docs.google.com/spreadsheets/d/1SX6NBoVAgQJ6U1MVXOaj8PK2l7WJ3RER9xtqwdhxkhw/edit?usp=sharing"",""กาญจนบุรี!J330"")"),40.0)</f>
        <v>40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IFERROR(__xludf.DUMMYFUNCTION("IMPORTRANGE(""https://docs.google.com/spreadsheets/d/1SX6NBoVAgQJ6U1MVXOaj8PK2l7WJ3RER9xtqwdhxkhw/edit?usp=sharing"",""กาญจนบุรี!L330"")"),139000.0)</f>
        <v>139000</v>
      </c>
      <c r="M435" s="445"/>
      <c r="N435" s="445">
        <f>IFERROR(__xludf.DUMMYFUNCTION("IMPORTRANGE(""https://docs.google.com/spreadsheets/d/1SX6NBoVAgQJ6U1MVXOaj8PK2l7WJ3RER9xtqwdhxkhw/edit?usp=sharing"",""กาญจนบุรี!M330"")"),63276.29)</f>
        <v>63276.29</v>
      </c>
      <c r="O435" s="445">
        <f t="shared" ref="O435:O439" si="115">+IF(L435&gt;0,N435*100/L435,0)</f>
        <v>45.52251079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IFERROR(__xludf.DUMMYFUNCTION("IMPORTRANGE(""https://docs.google.com/spreadsheets/d/1SX6NBoVAgQJ6U1MVXOaj8PK2l7WJ3RER9xtqwdhxkhw/edit?usp=sharing"",""กาญจนบุรี!L331"")"),0.0)</f>
        <v>0</v>
      </c>
      <c r="M436" s="197"/>
      <c r="N436" s="203">
        <f>IFERROR(__xludf.DUMMYFUNCTION("IMPORTRANGE(""https://docs.google.com/spreadsheets/d/1SX6NBoVAgQJ6U1MVXOaj8PK2l7WJ3RER9xtqwdhxkhw/edit?usp=sharing"",""กาญจนบุรี!M331"")"),0.0)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IFERROR(__xludf.DUMMYFUNCTION("IMPORTRANGE(""https://docs.google.com/spreadsheets/d/1SX6NBoVAgQJ6U1MVXOaj8PK2l7WJ3RER9xtqwdhxkhw/edit?usp=sharing"",""กาญจนบุรี!L332"")"),139000.0)</f>
        <v>139000</v>
      </c>
      <c r="M437" s="198"/>
      <c r="N437" s="203">
        <f>IFERROR(__xludf.DUMMYFUNCTION("IMPORTRANGE(""https://docs.google.com/spreadsheets/d/1SX6NBoVAgQJ6U1MVXOaj8PK2l7WJ3RER9xtqwdhxkhw/edit?usp=sharing"",""กาญจนบุรี!M332"")"),63276.29)</f>
        <v>63276.29</v>
      </c>
      <c r="O437" s="203">
        <f t="shared" si="115"/>
        <v>45.52251079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IFERROR(__xludf.DUMMYFUNCTION("IMPORTRANGE(""https://docs.google.com/spreadsheets/d/1SX6NBoVAgQJ6U1MVXOaj8PK2l7WJ3RER9xtqwdhxkhw/edit?usp=sharing"",""กาญจนบุรี!L333"")"),0.0)</f>
        <v>0</v>
      </c>
      <c r="M438" s="203"/>
      <c r="N438" s="203">
        <f>IFERROR(__xludf.DUMMYFUNCTION("IMPORTRANGE(""https://docs.google.com/spreadsheets/d/1SX6NBoVAgQJ6U1MVXOaj8PK2l7WJ3RER9xtqwdhxkhw/edit?usp=sharing"",""กาญจนบุรี!M333"")"),0.0)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IFERROR(__xludf.DUMMYFUNCTION("IMPORTRANGE(""https://docs.google.com/spreadsheets/d/1SX6NBoVAgQJ6U1MVXOaj8PK2l7WJ3RER9xtqwdhxkhw/edit?usp=sharing"",""กาญจนบุรี!L334"")"),139000.0)</f>
        <v>139000</v>
      </c>
      <c r="M439" s="203"/>
      <c r="N439" s="203">
        <f>IFERROR(__xludf.DUMMYFUNCTION("IMPORTRANGE(""https://docs.google.com/spreadsheets/d/1SX6NBoVAgQJ6U1MVXOaj8PK2l7WJ3RER9xtqwdhxkhw/edit?usp=sharing"",""กาญจนบุรี!M334"")"),63276.29)</f>
        <v>63276.29</v>
      </c>
      <c r="O439" s="203">
        <f t="shared" si="115"/>
        <v>45.52251079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IFERROR(__xludf.DUMMYFUNCTION("IMPORTRANGE(""https://docs.google.com/spreadsheets/d/1SX6NBoVAgQJ6U1MVXOaj8PK2l7WJ3RER9xtqwdhxkhw/edit?usp=sharing"",""กาญจนบุรี!M335"")"),56171.29)</f>
        <v>56171.29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IFERROR(__xludf.DUMMYFUNCTION("IMPORTRANGE(""https://docs.google.com/spreadsheets/d/1SX6NBoVAgQJ6U1MVXOaj8PK2l7WJ3RER9xtqwdhxkhw/edit?usp=sharing"",""กาญจนบุรี!M336"")"),0.0)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IFERROR(__xludf.DUMMYFUNCTION("IMPORTRANGE(""https://docs.google.com/spreadsheets/d/1SX6NBoVAgQJ6U1MVXOaj8PK2l7WJ3RER9xtqwdhxkhw/edit?usp=sharing"",""กาญจนบุรี!M337"")"),0.0)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IFERROR(__xludf.DUMMYFUNCTION("IMPORTRANGE(""https://docs.google.com/spreadsheets/d/1SX6NBoVAgQJ6U1MVXOaj8PK2l7WJ3RER9xtqwdhxkhw/edit?usp=sharing"",""กาญจนบุรี!M338"")"),7105.0)</f>
        <v>7105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IFERROR(__xludf.DUMMYFUNCTION("IMPORTRANGE(""https://docs.google.com/spreadsheets/d/1SX6NBoVAgQJ6U1MVXOaj8PK2l7WJ3RER9xtqwdhxkhw/edit?usp=sharing"",""กาญจนบุรี!J340"")"),0.0)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IFERROR(__xludf.DUMMYFUNCTION("IMPORTRANGE(""https://docs.google.com/spreadsheets/d/1SX6NBoVAgQJ6U1MVXOaj8PK2l7WJ3RER9xtqwdhxkhw/edit?usp=sharing"",""กาญจนบุรี!J341"")"),1.0)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IFERROR(__xludf.DUMMYFUNCTION("IMPORTRANGE(""https://docs.google.com/spreadsheets/d/1SX6NBoVAgQJ6U1MVXOaj8PK2l7WJ3RER9xtqwdhxkhw/edit?usp=sharing"",""กาญจนบุรี!J342"")"),1.0)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IFERROR(__xludf.DUMMYFUNCTION("IMPORTRANGE(""https://docs.google.com/spreadsheets/d/1SX6NBoVAgQJ6U1MVXOaj8PK2l7WJ3RER9xtqwdhxkhw/edit?usp=sharing"",""กาญจนบุรี!J343"")"),1.0)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IFERROR(__xludf.DUMMYFUNCTION("IMPORTRANGE(""https://docs.google.com/spreadsheets/d/1SX6NBoVAgQJ6U1MVXOaj8PK2l7WJ3RER9xtqwdhxkhw/edit?usp=sharing"",""กาญจนบุรี!I344"")"),40.0)</f>
        <v>40</v>
      </c>
      <c r="J449" s="235">
        <f>IFERROR(__xludf.DUMMYFUNCTION("IMPORTRANGE(""https://docs.google.com/spreadsheets/d/1SX6NBoVAgQJ6U1MVXOaj8PK2l7WJ3RER9xtqwdhxkhw/edit?usp=sharing"",""กาญจนบุรี!J344"")"),40.0)</f>
        <v>40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IFERROR(__xludf.DUMMYFUNCTION("IMPORTRANGE(""https://docs.google.com/spreadsheets/d/1SX6NBoVAgQJ6U1MVXOaj8PK2l7WJ3RER9xtqwdhxkhw/edit?usp=sharing"",""กาญจนบุรี!I345"")"),40.0)</f>
        <v>40</v>
      </c>
      <c r="J450" s="223">
        <f>IFERROR(__xludf.DUMMYFUNCTION("IMPORTRANGE(""https://docs.google.com/spreadsheets/d/1SX6NBoVAgQJ6U1MVXOaj8PK2l7WJ3RER9xtqwdhxkhw/edit?usp=sharing"",""กาญจนบุรี!J345"")"),40.0)</f>
        <v>40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IFERROR(__xludf.DUMMYFUNCTION("IMPORTRANGE(""https://docs.google.com/spreadsheets/d/1SX6NBoVAgQJ6U1MVXOaj8PK2l7WJ3RER9xtqwdhxkhw/edit?usp=sharing"",""กาญจนบุรี!I346"")"),0.0)</f>
        <v>0</v>
      </c>
      <c r="J451" s="222">
        <f>IFERROR(__xludf.DUMMYFUNCTION("IMPORTRANGE(""https://docs.google.com/spreadsheets/d/1SX6NBoVAgQJ6U1MVXOaj8PK2l7WJ3RER9xtqwdhxkhw/edit?usp=sharing"",""กาญจนบุรี!J346"")"),0.0)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IFERROR(__xludf.DUMMYFUNCTION("IMPORTRANGE(""https://docs.google.com/spreadsheets/d/1SX6NBoVAgQJ6U1MVXOaj8PK2l7WJ3RER9xtqwdhxkhw/edit?usp=sharing"",""กาญจนบุรี!I347"")"),0.0)</f>
        <v>0</v>
      </c>
      <c r="J452" s="222">
        <f>IFERROR(__xludf.DUMMYFUNCTION("IMPORTRANGE(""https://docs.google.com/spreadsheets/d/1SX6NBoVAgQJ6U1MVXOaj8PK2l7WJ3RER9xtqwdhxkhw/edit?usp=sharing"",""กาญจนบุรี!J347"")"),0.0)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IFERROR(__xludf.DUMMYFUNCTION("IMPORTRANGE(""https://docs.google.com/spreadsheets/d/1SX6NBoVAgQJ6U1MVXOaj8PK2l7WJ3RER9xtqwdhxkhw/edit?usp=sharing"",""กาญจนบุรี!J348"")"),0.0)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IFERROR(__xludf.DUMMYFUNCTION("IMPORTRANGE(""https://docs.google.com/spreadsheets/d/1SX6NBoVAgQJ6U1MVXOaj8PK2l7WJ3RER9xtqwdhxkhw/edit?usp=sharing"",""กาญจนบุรี!J349"")"),0.0)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IFERROR(__xludf.DUMMYFUNCTION("IMPORTRANGE(""https://docs.google.com/spreadsheets/d/1SX6NBoVAgQJ6U1MVXOaj8PK2l7WJ3RER9xtqwdhxkhw/edit?usp=sharing"",""กาญจนบุรี!I350"")"),180799.0)</f>
        <v>180799</v>
      </c>
      <c r="J455" s="404">
        <f>IFERROR(__xludf.DUMMYFUNCTION("IMPORTRANGE(""https://docs.google.com/spreadsheets/d/1SX6NBoVAgQJ6U1MVXOaj8PK2l7WJ3RER9xtqwdhxkhw/edit?usp=sharing"",""กาญจนบุรี!J350"")"),0.0)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IFERROR(__xludf.DUMMYFUNCTION("IMPORTRANGE(""https://docs.google.com/spreadsheets/d/1SX6NBoVAgQJ6U1MVXOaj8PK2l7WJ3RER9xtqwdhxkhw/edit?usp=sharing"",""กาญจนบุรี!L350"")"),1031428.0)</f>
        <v>1031428</v>
      </c>
      <c r="M455" s="406"/>
      <c r="N455" s="406">
        <f>IFERROR(__xludf.DUMMYFUNCTION("IMPORTRANGE(""https://docs.google.com/spreadsheets/d/1SX6NBoVAgQJ6U1MVXOaj8PK2l7WJ3RER9xtqwdhxkhw/edit?usp=sharing"",""กาญจนบุรี!M350"")"),74940.0)</f>
        <v>74940</v>
      </c>
      <c r="O455" s="406">
        <f t="shared" ref="O455:O459" si="117">+IF(L455&gt;0,N455*100/L455,0)</f>
        <v>7.265654995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IFERROR(__xludf.DUMMYFUNCTION("IMPORTRANGE(""https://docs.google.com/spreadsheets/d/1SX6NBoVAgQJ6U1MVXOaj8PK2l7WJ3RER9xtqwdhxkhw/edit?usp=sharing"",""กาญจนบุรี!L351"")"),0.0)</f>
        <v>0</v>
      </c>
      <c r="M456" s="197"/>
      <c r="N456" s="203">
        <f>IFERROR(__xludf.DUMMYFUNCTION("IMPORTRANGE(""https://docs.google.com/spreadsheets/d/1SX6NBoVAgQJ6U1MVXOaj8PK2l7WJ3RER9xtqwdhxkhw/edit?usp=sharing"",""กาญจนบุรี!M351"")"),0.0)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IFERROR(__xludf.DUMMYFUNCTION("IMPORTRANGE(""https://docs.google.com/spreadsheets/d/1SX6NBoVAgQJ6U1MVXOaj8PK2l7WJ3RER9xtqwdhxkhw/edit?usp=sharing"",""กาญจนบุรี!L352"")"),1031428.0)</f>
        <v>1031428</v>
      </c>
      <c r="M457" s="198"/>
      <c r="N457" s="203">
        <f>IFERROR(__xludf.DUMMYFUNCTION("IMPORTRANGE(""https://docs.google.com/spreadsheets/d/1SX6NBoVAgQJ6U1MVXOaj8PK2l7WJ3RER9xtqwdhxkhw/edit?usp=sharing"",""กาญจนบุรี!M352"")"),74940.0)</f>
        <v>74940</v>
      </c>
      <c r="O457" s="203">
        <f t="shared" si="117"/>
        <v>7.265654995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IFERROR(__xludf.DUMMYFUNCTION("IMPORTRANGE(""https://docs.google.com/spreadsheets/d/1SX6NBoVAgQJ6U1MVXOaj8PK2l7WJ3RER9xtqwdhxkhw/edit?usp=sharing"",""กาญจนบุรี!L353"")"),0.0)</f>
        <v>0</v>
      </c>
      <c r="M458" s="203"/>
      <c r="N458" s="203">
        <f>IFERROR(__xludf.DUMMYFUNCTION("IMPORTRANGE(""https://docs.google.com/spreadsheets/d/1SX6NBoVAgQJ6U1MVXOaj8PK2l7WJ3RER9xtqwdhxkhw/edit?usp=sharing"",""กาญจนบุรี!M353"")"),0.0)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IFERROR(__xludf.DUMMYFUNCTION("IMPORTRANGE(""https://docs.google.com/spreadsheets/d/1SX6NBoVAgQJ6U1MVXOaj8PK2l7WJ3RER9xtqwdhxkhw/edit?usp=sharing"",""กาญจนบุรี!L354"")"),1031428.0)</f>
        <v>1031428</v>
      </c>
      <c r="M459" s="203"/>
      <c r="N459" s="203">
        <f>IFERROR(__xludf.DUMMYFUNCTION("IMPORTRANGE(""https://docs.google.com/spreadsheets/d/1SX6NBoVAgQJ6U1MVXOaj8PK2l7WJ3RER9xtqwdhxkhw/edit?usp=sharing"",""กาญจนบุรี!M354"")"),74940.0)</f>
        <v>74940</v>
      </c>
      <c r="O459" s="203">
        <f t="shared" si="117"/>
        <v>7.265654995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IFERROR(__xludf.DUMMYFUNCTION("IMPORTRANGE(""https://docs.google.com/spreadsheets/d/1SX6NBoVAgQJ6U1MVXOaj8PK2l7WJ3RER9xtqwdhxkhw/edit?usp=sharing"",""กาญจนบุรี!M355"")"),0.0)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IFERROR(__xludf.DUMMYFUNCTION("IMPORTRANGE(""https://docs.google.com/spreadsheets/d/1SX6NBoVAgQJ6U1MVXOaj8PK2l7WJ3RER9xtqwdhxkhw/edit?usp=sharing"",""กาญจนบุรี!M356"")"),0.0)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IFERROR(__xludf.DUMMYFUNCTION("IMPORTRANGE(""https://docs.google.com/spreadsheets/d/1SX6NBoVAgQJ6U1MVXOaj8PK2l7WJ3RER9xtqwdhxkhw/edit?usp=sharing"",""กาญจนบุรี!M357"")"),21276.0)</f>
        <v>21276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IFERROR(__xludf.DUMMYFUNCTION("IMPORTRANGE(""https://docs.google.com/spreadsheets/d/1SX6NBoVAgQJ6U1MVXOaj8PK2l7WJ3RER9xtqwdhxkhw/edit?usp=sharing"",""กาญจนบุรี!M358"")"),53664.0)</f>
        <v>53664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IFERROR(__xludf.DUMMYFUNCTION("IMPORTRANGE(""https://docs.google.com/spreadsheets/d/1SX6NBoVAgQJ6U1MVXOaj8PK2l7WJ3RER9xtqwdhxkhw/edit?usp=sharing"",""กาญจนบุรี!I359"")"),180799.0)</f>
        <v>180799</v>
      </c>
      <c r="J464" s="301">
        <f>IFERROR(__xludf.DUMMYFUNCTION("IMPORTRANGE(""https://docs.google.com/spreadsheets/d/1SX6NBoVAgQJ6U1MVXOaj8PK2l7WJ3RER9xtqwdhxkhw/edit?usp=sharing"",""กาญจนบุรี!J359"")"),0.0)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IFERROR(__xludf.DUMMYFUNCTION("IMPORTRANGE(""https://docs.google.com/spreadsheets/d/1SX6NBoVAgQJ6U1MVXOaj8PK2l7WJ3RER9xtqwdhxkhw/edit?usp=sharing"",""กาญจนบุรี!I360"")"),180799.0)</f>
        <v>180799</v>
      </c>
      <c r="J465" s="453">
        <f>IFERROR(__xludf.DUMMYFUNCTION("IMPORTRANGE(""https://docs.google.com/spreadsheets/d/1SX6NBoVAgQJ6U1MVXOaj8PK2l7WJ3RER9xtqwdhxkhw/edit?usp=sharing"",""กาญจนบุรี!J360"")"),0.0)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IFERROR(__xludf.DUMMYFUNCTION("IMPORTRANGE(""https://docs.google.com/spreadsheets/d/1SX6NBoVAgQJ6U1MVXOaj8PK2l7WJ3RER9xtqwdhxkhw/edit?usp=sharing"",""กาญจนบุรี!I361"")"),13419.0)</f>
        <v>13419</v>
      </c>
      <c r="J466" s="453">
        <f>IFERROR(__xludf.DUMMYFUNCTION("IMPORTRANGE(""https://docs.google.com/spreadsheets/d/1SX6NBoVAgQJ6U1MVXOaj8PK2l7WJ3RER9xtqwdhxkhw/edit?usp=sharing"",""กาญจนบุรี!J361"")"),0.0)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IFERROR(__xludf.DUMMYFUNCTION("IMPORTRANGE(""https://docs.google.com/spreadsheets/d/1SX6NBoVAgQJ6U1MVXOaj8PK2l7WJ3RER9xtqwdhxkhw/edit?usp=sharing"",""กาญจนบุรี!I362"")"),0.0)</f>
        <v>0</v>
      </c>
      <c r="J467" s="223">
        <f>IFERROR(__xludf.DUMMYFUNCTION("IMPORTRANGE(""https://docs.google.com/spreadsheets/d/1SX6NBoVAgQJ6U1MVXOaj8PK2l7WJ3RER9xtqwdhxkhw/edit?usp=sharing"",""กาญจนบุรี!J362"")"),0.0)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IFERROR(__xludf.DUMMYFUNCTION("IMPORTRANGE(""https://docs.google.com/spreadsheets/d/1SX6NBoVAgQJ6U1MVXOaj8PK2l7WJ3RER9xtqwdhxkhw/edit?usp=sharing"",""กาญจนบุรี!I363"")"),0.0)</f>
        <v>0</v>
      </c>
      <c r="J468" s="223">
        <f>IFERROR(__xludf.DUMMYFUNCTION("IMPORTRANGE(""https://docs.google.com/spreadsheets/d/1SX6NBoVAgQJ6U1MVXOaj8PK2l7WJ3RER9xtqwdhxkhw/edit?usp=sharing"",""กาญจนบุรี!J363"")"),0.0)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IFERROR(__xludf.DUMMYFUNCTION("IMPORTRANGE(""https://docs.google.com/spreadsheets/d/1SX6NBoVAgQJ6U1MVXOaj8PK2l7WJ3RER9xtqwdhxkhw/edit?usp=sharing"",""กาญจนบุรี!I364"")"),0.0)</f>
        <v>0</v>
      </c>
      <c r="J469" s="223">
        <f>IFERROR(__xludf.DUMMYFUNCTION("IMPORTRANGE(""https://docs.google.com/spreadsheets/d/1SX6NBoVAgQJ6U1MVXOaj8PK2l7WJ3RER9xtqwdhxkhw/edit?usp=sharing"",""กาญจนบุรี!J364"")"),0.0)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IFERROR(__xludf.DUMMYFUNCTION("IMPORTRANGE(""https://docs.google.com/spreadsheets/d/1SX6NBoVAgQJ6U1MVXOaj8PK2l7WJ3RER9xtqwdhxkhw/edit?usp=sharing"",""กาญจนบุรี!I365"")"),0.0)</f>
        <v>0</v>
      </c>
      <c r="J470" s="223">
        <f>IFERROR(__xludf.DUMMYFUNCTION("IMPORTRANGE(""https://docs.google.com/spreadsheets/d/1SX6NBoVAgQJ6U1MVXOaj8PK2l7WJ3RER9xtqwdhxkhw/edit?usp=sharing"",""กาญจนบุรี!J365"")"),0.0)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IFERROR(__xludf.DUMMYFUNCTION("IMPORTRANGE(""https://docs.google.com/spreadsheets/d/1SX6NBoVAgQJ6U1MVXOaj8PK2l7WJ3RER9xtqwdhxkhw/edit?usp=sharing"",""กาญจนบุรี!I366"")"),0.0)</f>
        <v>0</v>
      </c>
      <c r="J471" s="223">
        <f>IFERROR(__xludf.DUMMYFUNCTION("IMPORTRANGE(""https://docs.google.com/spreadsheets/d/1SX6NBoVAgQJ6U1MVXOaj8PK2l7WJ3RER9xtqwdhxkhw/edit?usp=sharing"",""กาญจนบุรี!J366"")"),0.0)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IFERROR(__xludf.DUMMYFUNCTION("IMPORTRANGE(""https://docs.google.com/spreadsheets/d/1SX6NBoVAgQJ6U1MVXOaj8PK2l7WJ3RER9xtqwdhxkhw/edit?usp=sharing"",""กาญจนบุรี!I367"")"),0.0)</f>
        <v>0</v>
      </c>
      <c r="J472" s="223">
        <f>IFERROR(__xludf.DUMMYFUNCTION("IMPORTRANGE(""https://docs.google.com/spreadsheets/d/1SX6NBoVAgQJ6U1MVXOaj8PK2l7WJ3RER9xtqwdhxkhw/edit?usp=sharing"",""กาญจนบุรี!J367"")"),0.0)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IFERROR(__xludf.DUMMYFUNCTION("IMPORTRANGE(""https://docs.google.com/spreadsheets/d/1SX6NBoVAgQJ6U1MVXOaj8PK2l7WJ3RER9xtqwdhxkhw/edit?usp=sharing"",""กาญจนบุรี!I368"")"),180799.0)</f>
        <v>180799</v>
      </c>
      <c r="J473" s="453">
        <f>IFERROR(__xludf.DUMMYFUNCTION("IMPORTRANGE(""https://docs.google.com/spreadsheets/d/1SX6NBoVAgQJ6U1MVXOaj8PK2l7WJ3RER9xtqwdhxkhw/edit?usp=sharing"",""กาญจนบุรี!J368"")"),0.0)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IFERROR(__xludf.DUMMYFUNCTION("IMPORTRANGE(""https://docs.google.com/spreadsheets/d/1SX6NBoVAgQJ6U1MVXOaj8PK2l7WJ3RER9xtqwdhxkhw/edit?usp=sharing"",""กาญจนบุรี!I369"")"),13419.0)</f>
        <v>13419</v>
      </c>
      <c r="J474" s="453">
        <f>IFERROR(__xludf.DUMMYFUNCTION("IMPORTRANGE(""https://docs.google.com/spreadsheets/d/1SX6NBoVAgQJ6U1MVXOaj8PK2l7WJ3RER9xtqwdhxkhw/edit?usp=sharing"",""กาญจนบุรี!J369"")"),0.0)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IFERROR(__xludf.DUMMYFUNCTION("IMPORTRANGE(""https://docs.google.com/spreadsheets/d/1SX6NBoVAgQJ6U1MVXOaj8PK2l7WJ3RER9xtqwdhxkhw/edit?usp=sharing"",""กาญจนบุรี!I370"")"),0.0)</f>
        <v>0</v>
      </c>
      <c r="J475" s="223">
        <f>IFERROR(__xludf.DUMMYFUNCTION("IMPORTRANGE(""https://docs.google.com/spreadsheets/d/1SX6NBoVAgQJ6U1MVXOaj8PK2l7WJ3RER9xtqwdhxkhw/edit?usp=sharing"",""กาญจนบุรี!J370"")"),0.0)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IFERROR(__xludf.DUMMYFUNCTION("IMPORTRANGE(""https://docs.google.com/spreadsheets/d/1SX6NBoVAgQJ6U1MVXOaj8PK2l7WJ3RER9xtqwdhxkhw/edit?usp=sharing"",""กาญจนบุรี!I371"")"),0.0)</f>
        <v>0</v>
      </c>
      <c r="J476" s="223">
        <f>IFERROR(__xludf.DUMMYFUNCTION("IMPORTRANGE(""https://docs.google.com/spreadsheets/d/1SX6NBoVAgQJ6U1MVXOaj8PK2l7WJ3RER9xtqwdhxkhw/edit?usp=sharing"",""กาญจนบุรี!J371"")"),0.0)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IFERROR(__xludf.DUMMYFUNCTION("IMPORTRANGE(""https://docs.google.com/spreadsheets/d/1SX6NBoVAgQJ6U1MVXOaj8PK2l7WJ3RER9xtqwdhxkhw/edit?usp=sharing"",""กาญจนบุรี!I372"")"),0.0)</f>
        <v>0</v>
      </c>
      <c r="J477" s="223">
        <f>IFERROR(__xludf.DUMMYFUNCTION("IMPORTRANGE(""https://docs.google.com/spreadsheets/d/1SX6NBoVAgQJ6U1MVXOaj8PK2l7WJ3RER9xtqwdhxkhw/edit?usp=sharing"",""กาญจนบุรี!J372"")"),0.0)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IFERROR(__xludf.DUMMYFUNCTION("IMPORTRANGE(""https://docs.google.com/spreadsheets/d/1SX6NBoVAgQJ6U1MVXOaj8PK2l7WJ3RER9xtqwdhxkhw/edit?usp=sharing"",""กาญจนบุรี!I373"")"),0.0)</f>
        <v>0</v>
      </c>
      <c r="J478" s="223">
        <f>IFERROR(__xludf.DUMMYFUNCTION("IMPORTRANGE(""https://docs.google.com/spreadsheets/d/1SX6NBoVAgQJ6U1MVXOaj8PK2l7WJ3RER9xtqwdhxkhw/edit?usp=sharing"",""กาญจนบุรี!J373"")"),0.0)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IFERROR(__xludf.DUMMYFUNCTION("IMPORTRANGE(""https://docs.google.com/spreadsheets/d/1SX6NBoVAgQJ6U1MVXOaj8PK2l7WJ3RER9xtqwdhxkhw/edit?usp=sharing"",""กาญจนบุรี!I374"")"),0.0)</f>
        <v>0</v>
      </c>
      <c r="J479" s="223">
        <f>IFERROR(__xludf.DUMMYFUNCTION("IMPORTRANGE(""https://docs.google.com/spreadsheets/d/1SX6NBoVAgQJ6U1MVXOaj8PK2l7WJ3RER9xtqwdhxkhw/edit?usp=sharing"",""กาญจนบุรี!J374"")"),0.0)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IFERROR(__xludf.DUMMYFUNCTION("IMPORTRANGE(""https://docs.google.com/spreadsheets/d/1SX6NBoVAgQJ6U1MVXOaj8PK2l7WJ3RER9xtqwdhxkhw/edit?usp=sharing"",""กาญจนบุรี!I375"")"),0.0)</f>
        <v>0</v>
      </c>
      <c r="J480" s="223">
        <f>IFERROR(__xludf.DUMMYFUNCTION("IMPORTRANGE(""https://docs.google.com/spreadsheets/d/1SX6NBoVAgQJ6U1MVXOaj8PK2l7WJ3RER9xtqwdhxkhw/edit?usp=sharing"",""กาญจนบุรี!J375"")"),0.0)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IFERROR(__xludf.DUMMYFUNCTION("IMPORTRANGE(""https://docs.google.com/spreadsheets/d/1SX6NBoVAgQJ6U1MVXOaj8PK2l7WJ3RER9xtqwdhxkhw/edit?usp=sharing"",""กาญจนบุรี!I376"")"),180799.0)</f>
        <v>180799</v>
      </c>
      <c r="J481" s="453">
        <f>IFERROR(__xludf.DUMMYFUNCTION("IMPORTRANGE(""https://docs.google.com/spreadsheets/d/1SX6NBoVAgQJ6U1MVXOaj8PK2l7WJ3RER9xtqwdhxkhw/edit?usp=sharing"",""กาญจนบุรี!J376"")"),0.0)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IFERROR(__xludf.DUMMYFUNCTION("IMPORTRANGE(""https://docs.google.com/spreadsheets/d/1SX6NBoVAgQJ6U1MVXOaj8PK2l7WJ3RER9xtqwdhxkhw/edit?usp=sharing"",""กาญจนบุรี!I377"")"),13419.0)</f>
        <v>13419</v>
      </c>
      <c r="J482" s="453">
        <f>IFERROR(__xludf.DUMMYFUNCTION("IMPORTRANGE(""https://docs.google.com/spreadsheets/d/1SX6NBoVAgQJ6U1MVXOaj8PK2l7WJ3RER9xtqwdhxkhw/edit?usp=sharing"",""กาญจนบุรี!J377"")"),0.0)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IFERROR(__xludf.DUMMYFUNCTION("IMPORTRANGE(""https://docs.google.com/spreadsheets/d/1SX6NBoVAgQJ6U1MVXOaj8PK2l7WJ3RER9xtqwdhxkhw/edit?usp=sharing"",""กาญจนบุรี!I378"")"),0.0)</f>
        <v>0</v>
      </c>
      <c r="J483" s="223">
        <f>IFERROR(__xludf.DUMMYFUNCTION("IMPORTRANGE(""https://docs.google.com/spreadsheets/d/1SX6NBoVAgQJ6U1MVXOaj8PK2l7WJ3RER9xtqwdhxkhw/edit?usp=sharing"",""กาญจนบุรี!J378"")"),0.0)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IFERROR(__xludf.DUMMYFUNCTION("IMPORTRANGE(""https://docs.google.com/spreadsheets/d/1SX6NBoVAgQJ6U1MVXOaj8PK2l7WJ3RER9xtqwdhxkhw/edit?usp=sharing"",""กาญจนบุรี!I379"")"),0.0)</f>
        <v>0</v>
      </c>
      <c r="J484" s="223">
        <f>IFERROR(__xludf.DUMMYFUNCTION("IMPORTRANGE(""https://docs.google.com/spreadsheets/d/1SX6NBoVAgQJ6U1MVXOaj8PK2l7WJ3RER9xtqwdhxkhw/edit?usp=sharing"",""กาญจนบุรี!J379"")"),0.0)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IFERROR(__xludf.DUMMYFUNCTION("IMPORTRANGE(""https://docs.google.com/spreadsheets/d/1SX6NBoVAgQJ6U1MVXOaj8PK2l7WJ3RER9xtqwdhxkhw/edit?usp=sharing"",""กาญจนบุรี!I380"")"),0.0)</f>
        <v>0</v>
      </c>
      <c r="J485" s="223">
        <f>IFERROR(__xludf.DUMMYFUNCTION("IMPORTRANGE(""https://docs.google.com/spreadsheets/d/1SX6NBoVAgQJ6U1MVXOaj8PK2l7WJ3RER9xtqwdhxkhw/edit?usp=sharing"",""กาญจนบุรี!J380"")"),0.0)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IFERROR(__xludf.DUMMYFUNCTION("IMPORTRANGE(""https://docs.google.com/spreadsheets/d/1SX6NBoVAgQJ6U1MVXOaj8PK2l7WJ3RER9xtqwdhxkhw/edit?usp=sharing"",""กาญจนบุรี!I381"")"),0.0)</f>
        <v>0</v>
      </c>
      <c r="J486" s="223">
        <f>IFERROR(__xludf.DUMMYFUNCTION("IMPORTRANGE(""https://docs.google.com/spreadsheets/d/1SX6NBoVAgQJ6U1MVXOaj8PK2l7WJ3RER9xtqwdhxkhw/edit?usp=sharing"",""กาญจนบุรี!J381"")"),0.0)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IFERROR(__xludf.DUMMYFUNCTION("IMPORTRANGE(""https://docs.google.com/spreadsheets/d/1SX6NBoVAgQJ6U1MVXOaj8PK2l7WJ3RER9xtqwdhxkhw/edit?usp=sharing"",""กาญจนบุรี!I382"")"),0.0)</f>
        <v>0</v>
      </c>
      <c r="J487" s="453">
        <f>IFERROR(__xludf.DUMMYFUNCTION("IMPORTRANGE(""https://docs.google.com/spreadsheets/d/1SX6NBoVAgQJ6U1MVXOaj8PK2l7WJ3RER9xtqwdhxkhw/edit?usp=sharing"",""กาญจนบุรี!J382"")"),0.0)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IFERROR(__xludf.DUMMYFUNCTION("IMPORTRANGE(""https://docs.google.com/spreadsheets/d/1SX6NBoVAgQJ6U1MVXOaj8PK2l7WJ3RER9xtqwdhxkhw/edit?usp=sharing"",""กาญจนบุรี!I383"")"),0.0)</f>
        <v>0</v>
      </c>
      <c r="J488" s="453">
        <f>IFERROR(__xludf.DUMMYFUNCTION("IMPORTRANGE(""https://docs.google.com/spreadsheets/d/1SX6NBoVAgQJ6U1MVXOaj8PK2l7WJ3RER9xtqwdhxkhw/edit?usp=sharing"",""กาญจนบุรี!J383"")"),0.0)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IFERROR(__xludf.DUMMYFUNCTION("IMPORTRANGE(""https://docs.google.com/spreadsheets/d/1SX6NBoVAgQJ6U1MVXOaj8PK2l7WJ3RER9xtqwdhxkhw/edit?usp=sharing"",""กาญจนบุรี!I384"")"),0.0)</f>
        <v>0</v>
      </c>
      <c r="J489" s="223">
        <f>IFERROR(__xludf.DUMMYFUNCTION("IMPORTRANGE(""https://docs.google.com/spreadsheets/d/1SX6NBoVAgQJ6U1MVXOaj8PK2l7WJ3RER9xtqwdhxkhw/edit?usp=sharing"",""กาญจนบุรี!J384"")"),0.0)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IFERROR(__xludf.DUMMYFUNCTION("IMPORTRANGE(""https://docs.google.com/spreadsheets/d/1SX6NBoVAgQJ6U1MVXOaj8PK2l7WJ3RER9xtqwdhxkhw/edit?usp=sharing"",""กาญจนบุรี!I385"")"),0.0)</f>
        <v>0</v>
      </c>
      <c r="J490" s="223">
        <f>IFERROR(__xludf.DUMMYFUNCTION("IMPORTRANGE(""https://docs.google.com/spreadsheets/d/1SX6NBoVAgQJ6U1MVXOaj8PK2l7WJ3RER9xtqwdhxkhw/edit?usp=sharing"",""กาญจนบุรี!J385"")"),0.0)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IFERROR(__xludf.DUMMYFUNCTION("IMPORTRANGE(""https://docs.google.com/spreadsheets/d/1SX6NBoVAgQJ6U1MVXOaj8PK2l7WJ3RER9xtqwdhxkhw/edit?usp=sharing"",""กาญจนบุรี!I386"")"),0.0)</f>
        <v>0</v>
      </c>
      <c r="J491" s="223">
        <f>IFERROR(__xludf.DUMMYFUNCTION("IMPORTRANGE(""https://docs.google.com/spreadsheets/d/1SX6NBoVAgQJ6U1MVXOaj8PK2l7WJ3RER9xtqwdhxkhw/edit?usp=sharing"",""กาญจนบุรี!J386"")"),0.0)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IFERROR(__xludf.DUMMYFUNCTION("IMPORTRANGE(""https://docs.google.com/spreadsheets/d/1SX6NBoVAgQJ6U1MVXOaj8PK2l7WJ3RER9xtqwdhxkhw/edit?usp=sharing"",""กาญจนบุรี!I387"")"),0.0)</f>
        <v>0</v>
      </c>
      <c r="J492" s="223">
        <f>IFERROR(__xludf.DUMMYFUNCTION("IMPORTRANGE(""https://docs.google.com/spreadsheets/d/1SX6NBoVAgQJ6U1MVXOaj8PK2l7WJ3RER9xtqwdhxkhw/edit?usp=sharing"",""กาญจนบุรี!J387"")"),0.0)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IFERROR(__xludf.DUMMYFUNCTION("IMPORTRANGE(""https://docs.google.com/spreadsheets/d/1SX6NBoVAgQJ6U1MVXOaj8PK2l7WJ3RER9xtqwdhxkhw/edit?usp=sharing"",""กาญจนบุรี!I388"")"),0.0)</f>
        <v>0</v>
      </c>
      <c r="J493" s="223">
        <f>IFERROR(__xludf.DUMMYFUNCTION("IMPORTRANGE(""https://docs.google.com/spreadsheets/d/1SX6NBoVAgQJ6U1MVXOaj8PK2l7WJ3RER9xtqwdhxkhw/edit?usp=sharing"",""กาญจนบุรี!J388"")"),0.0)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IFERROR(__xludf.DUMMYFUNCTION("IMPORTRANGE(""https://docs.google.com/spreadsheets/d/1SX6NBoVAgQJ6U1MVXOaj8PK2l7WJ3RER9xtqwdhxkhw/edit?usp=sharing"",""กาญจนบุรี!I389"")"),0.0)</f>
        <v>0</v>
      </c>
      <c r="J494" s="469">
        <f>IFERROR(__xludf.DUMMYFUNCTION("IMPORTRANGE(""https://docs.google.com/spreadsheets/d/1SX6NBoVAgQJ6U1MVXOaj8PK2l7WJ3RER9xtqwdhxkhw/edit?usp=sharing"",""กาญจนบุรี!J389"")"),0.0)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IFERROR(__xludf.DUMMYFUNCTION("IMPORTRANGE(""https://docs.google.com/spreadsheets/d/1SX6NBoVAgQJ6U1MVXOaj8PK2l7WJ3RER9xtqwdhxkhw/edit?usp=sharing"",""กาญจนบุรี!I390"")"),0.0)</f>
        <v>0</v>
      </c>
      <c r="J495" s="469">
        <f>IFERROR(__xludf.DUMMYFUNCTION("IMPORTRANGE(""https://docs.google.com/spreadsheets/d/1SX6NBoVAgQJ6U1MVXOaj8PK2l7WJ3RER9xtqwdhxkhw/edit?usp=sharing"",""กาญจนบุรี!J390"")"),0.0)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IFERROR(__xludf.DUMMYFUNCTION("IMPORTRANGE(""https://docs.google.com/spreadsheets/d/1SX6NBoVAgQJ6U1MVXOaj8PK2l7WJ3RER9xtqwdhxkhw/edit?usp=sharing"",""กาญจนบุรี!I391"")"),0.0)</f>
        <v>0</v>
      </c>
      <c r="J496" s="469">
        <f>IFERROR(__xludf.DUMMYFUNCTION("IMPORTRANGE(""https://docs.google.com/spreadsheets/d/1SX6NBoVAgQJ6U1MVXOaj8PK2l7WJ3RER9xtqwdhxkhw/edit?usp=sharing"",""กาญจนบุรี!J391"")"),0.0)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IFERROR(__xludf.DUMMYFUNCTION("IMPORTRANGE(""https://docs.google.com/spreadsheets/d/1SX6NBoVAgQJ6U1MVXOaj8PK2l7WJ3RER9xtqwdhxkhw/edit?usp=sharing"",""กาญจนบุรี!I392"")"),0.0)</f>
        <v>0</v>
      </c>
      <c r="J497" s="476">
        <f>IFERROR(__xludf.DUMMYFUNCTION("IMPORTRANGE(""https://docs.google.com/spreadsheets/d/1SX6NBoVAgQJ6U1MVXOaj8PK2l7WJ3RER9xtqwdhxkhw/edit?usp=sharing"",""กาญจนบุรี!J392"")"),0.0)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IFERROR(__xludf.DUMMYFUNCTION("IMPORTRANGE(""https://docs.google.com/spreadsheets/d/1SX6NBoVAgQJ6U1MVXOaj8PK2l7WJ3RER9xtqwdhxkhw/edit?usp=sharing"",""กาญจนบุรี!I393"")"),0.0)</f>
        <v>0</v>
      </c>
      <c r="J498" s="453">
        <f>IFERROR(__xludf.DUMMYFUNCTION("IMPORTRANGE(""https://docs.google.com/spreadsheets/d/1SX6NBoVAgQJ6U1MVXOaj8PK2l7WJ3RER9xtqwdhxkhw/edit?usp=sharing"",""กาญจนบุรี!J393"")"),0.0)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IFERROR(__xludf.DUMMYFUNCTION("IMPORTRANGE(""https://docs.google.com/spreadsheets/d/1SX6NBoVAgQJ6U1MVXOaj8PK2l7WJ3RER9xtqwdhxkhw/edit?usp=sharing"",""กาญจนบุรี!I394"")"),0.0)</f>
        <v>0</v>
      </c>
      <c r="J499" s="453">
        <f>IFERROR(__xludf.DUMMYFUNCTION("IMPORTRANGE(""https://docs.google.com/spreadsheets/d/1SX6NBoVAgQJ6U1MVXOaj8PK2l7WJ3RER9xtqwdhxkhw/edit?usp=sharing"",""กาญจนบุรี!J394"")"),0.0)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IFERROR(__xludf.DUMMYFUNCTION("IMPORTRANGE(""https://docs.google.com/spreadsheets/d/1SX6NBoVAgQJ6U1MVXOaj8PK2l7WJ3RER9xtqwdhxkhw/edit?usp=sharing"",""กาญจนบุรี!I395"")"),0.0)</f>
        <v>0</v>
      </c>
      <c r="J500" s="195">
        <f>IFERROR(__xludf.DUMMYFUNCTION("IMPORTRANGE(""https://docs.google.com/spreadsheets/d/1SX6NBoVAgQJ6U1MVXOaj8PK2l7WJ3RER9xtqwdhxkhw/edit?usp=sharing"",""กาญจนบุรี!J395"")"),0.0)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IFERROR(__xludf.DUMMYFUNCTION("IMPORTRANGE(""https://docs.google.com/spreadsheets/d/1SX6NBoVAgQJ6U1MVXOaj8PK2l7WJ3RER9xtqwdhxkhw/edit?usp=sharing"",""กาญจนบุรี!I396"")"),0.0)</f>
        <v>0</v>
      </c>
      <c r="J501" s="195">
        <f>IFERROR(__xludf.DUMMYFUNCTION("IMPORTRANGE(""https://docs.google.com/spreadsheets/d/1SX6NBoVAgQJ6U1MVXOaj8PK2l7WJ3RER9xtqwdhxkhw/edit?usp=sharing"",""กาญจนบุรี!J396"")"),0.0)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IFERROR(__xludf.DUMMYFUNCTION("IMPORTRANGE(""https://docs.google.com/spreadsheets/d/1SX6NBoVAgQJ6U1MVXOaj8PK2l7WJ3RER9xtqwdhxkhw/edit?usp=sharing"",""กาญจนบุรี!I397"")"),0.0)</f>
        <v>0</v>
      </c>
      <c r="J502" s="223">
        <f>IFERROR(__xludf.DUMMYFUNCTION("IMPORTRANGE(""https://docs.google.com/spreadsheets/d/1SX6NBoVAgQJ6U1MVXOaj8PK2l7WJ3RER9xtqwdhxkhw/edit?usp=sharing"",""กาญจนบุรี!J397"")"),0.0)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IFERROR(__xludf.DUMMYFUNCTION("IMPORTRANGE(""https://docs.google.com/spreadsheets/d/1SX6NBoVAgQJ6U1MVXOaj8PK2l7WJ3RER9xtqwdhxkhw/edit?usp=sharing"",""กาญจนบุรี!I398"")"),0.0)</f>
        <v>0</v>
      </c>
      <c r="J503" s="232">
        <f>IFERROR(__xludf.DUMMYFUNCTION("IMPORTRANGE(""https://docs.google.com/spreadsheets/d/1SX6NBoVAgQJ6U1MVXOaj8PK2l7WJ3RER9xtqwdhxkhw/edit?usp=sharing"",""กาญจนบุรี!J398"")"),0.0)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IFERROR(__xludf.DUMMYFUNCTION("IMPORTRANGE(""https://docs.google.com/spreadsheets/d/1SX6NBoVAgQJ6U1MVXOaj8PK2l7WJ3RER9xtqwdhxkhw/edit?usp=sharing"",""กาญจนบุรี!I399"")"),0.0)</f>
        <v>0</v>
      </c>
      <c r="J504" s="223">
        <f>IFERROR(__xludf.DUMMYFUNCTION("IMPORTRANGE(""https://docs.google.com/spreadsheets/d/1SX6NBoVAgQJ6U1MVXOaj8PK2l7WJ3RER9xtqwdhxkhw/edit?usp=sharing"",""กาญจนบุรี!J399"")"),0.0)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IFERROR(__xludf.DUMMYFUNCTION("IMPORTRANGE(""https://docs.google.com/spreadsheets/d/1SX6NBoVAgQJ6U1MVXOaj8PK2l7WJ3RER9xtqwdhxkhw/edit?usp=sharing"",""กาญจนบุรี!I400"")"),0.0)</f>
        <v>0</v>
      </c>
      <c r="J505" s="232">
        <f>IFERROR(__xludf.DUMMYFUNCTION("IMPORTRANGE(""https://docs.google.com/spreadsheets/d/1SX6NBoVAgQJ6U1MVXOaj8PK2l7WJ3RER9xtqwdhxkhw/edit?usp=sharing"",""กาญจนบุรี!J400"")"),0.0)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IFERROR(__xludf.DUMMYFUNCTION("IMPORTRANGE(""https://docs.google.com/spreadsheets/d/1SX6NBoVAgQJ6U1MVXOaj8PK2l7WJ3RER9xtqwdhxkhw/edit?usp=sharing"",""กาญจนบุรี!I401"")"),0.0)</f>
        <v>0</v>
      </c>
      <c r="J506" s="223">
        <f>IFERROR(__xludf.DUMMYFUNCTION("IMPORTRANGE(""https://docs.google.com/spreadsheets/d/1SX6NBoVAgQJ6U1MVXOaj8PK2l7WJ3RER9xtqwdhxkhw/edit?usp=sharing"",""กาญจนบุรี!J401"")"),0.0)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IFERROR(__xludf.DUMMYFUNCTION("IMPORTRANGE(""https://docs.google.com/spreadsheets/d/1SX6NBoVAgQJ6U1MVXOaj8PK2l7WJ3RER9xtqwdhxkhw/edit?usp=sharing"",""กาญจนบุรี!I402"")"),0.0)</f>
        <v>0</v>
      </c>
      <c r="J507" s="232">
        <f>IFERROR(__xludf.DUMMYFUNCTION("IMPORTRANGE(""https://docs.google.com/spreadsheets/d/1SX6NBoVAgQJ6U1MVXOaj8PK2l7WJ3RER9xtqwdhxkhw/edit?usp=sharing"",""กาญจนบุรี!J402"")"),0.0)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IFERROR(__xludf.DUMMYFUNCTION("IMPORTRANGE(""https://docs.google.com/spreadsheets/d/1SX6NBoVAgQJ6U1MVXOaj8PK2l7WJ3RER9xtqwdhxkhw/edit?usp=sharing"",""กาญจนบุรี!I403"")"),0.0)</f>
        <v>0</v>
      </c>
      <c r="J508" s="195">
        <f>IFERROR(__xludf.DUMMYFUNCTION("IMPORTRANGE(""https://docs.google.com/spreadsheets/d/1SX6NBoVAgQJ6U1MVXOaj8PK2l7WJ3RER9xtqwdhxkhw/edit?usp=sharing"",""กาญจนบุรี!J403"")"),0.0)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IFERROR(__xludf.DUMMYFUNCTION("IMPORTRANGE(""https://docs.google.com/spreadsheets/d/1SX6NBoVAgQJ6U1MVXOaj8PK2l7WJ3RER9xtqwdhxkhw/edit?usp=sharing"",""กาญจนบุรี!I404"")"),0.0)</f>
        <v>0</v>
      </c>
      <c r="J509" s="195">
        <f>IFERROR(__xludf.DUMMYFUNCTION("IMPORTRANGE(""https://docs.google.com/spreadsheets/d/1SX6NBoVAgQJ6U1MVXOaj8PK2l7WJ3RER9xtqwdhxkhw/edit?usp=sharing"",""กาญจนบุรี!J404"")"),0.0)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IFERROR(__xludf.DUMMYFUNCTION("IMPORTRANGE(""https://docs.google.com/spreadsheets/d/1SX6NBoVAgQJ6U1MVXOaj8PK2l7WJ3RER9xtqwdhxkhw/edit?usp=sharing"",""กาญจนบุรี!I405"")"),0.0)</f>
        <v>0</v>
      </c>
      <c r="J510" s="232">
        <f>IFERROR(__xludf.DUMMYFUNCTION("IMPORTRANGE(""https://docs.google.com/spreadsheets/d/1SX6NBoVAgQJ6U1MVXOaj8PK2l7WJ3RER9xtqwdhxkhw/edit?usp=sharing"",""กาญจนบุรี!J405"")"),0.0)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IFERROR(__xludf.DUMMYFUNCTION("IMPORTRANGE(""https://docs.google.com/spreadsheets/d/1SX6NBoVAgQJ6U1MVXOaj8PK2l7WJ3RER9xtqwdhxkhw/edit?usp=sharing"",""กาญจนบุรี!I406"")"),0.0)</f>
        <v>0</v>
      </c>
      <c r="J511" s="232">
        <f>IFERROR(__xludf.DUMMYFUNCTION("IMPORTRANGE(""https://docs.google.com/spreadsheets/d/1SX6NBoVAgQJ6U1MVXOaj8PK2l7WJ3RER9xtqwdhxkhw/edit?usp=sharing"",""กาญจนบุรี!J406"")"),0.0)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IFERROR(__xludf.DUMMYFUNCTION("IMPORTRANGE(""https://docs.google.com/spreadsheets/d/1SX6NBoVAgQJ6U1MVXOaj8PK2l7WJ3RER9xtqwdhxkhw/edit?usp=sharing"",""กาญจนบุรี!I407"")"),0.0)</f>
        <v>0</v>
      </c>
      <c r="J512" s="232">
        <f>IFERROR(__xludf.DUMMYFUNCTION("IMPORTRANGE(""https://docs.google.com/spreadsheets/d/1SX6NBoVAgQJ6U1MVXOaj8PK2l7WJ3RER9xtqwdhxkhw/edit?usp=sharing"",""กาญจนบุรี!J407"")"),0.0)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IFERROR(__xludf.DUMMYFUNCTION("IMPORTRANGE(""https://docs.google.com/spreadsheets/d/1SX6NBoVAgQJ6U1MVXOaj8PK2l7WJ3RER9xtqwdhxkhw/edit?usp=sharing"",""กาญจนบุรี!I408"")"),0.0)</f>
        <v>0</v>
      </c>
      <c r="J513" s="232">
        <f>IFERROR(__xludf.DUMMYFUNCTION("IMPORTRANGE(""https://docs.google.com/spreadsheets/d/1SX6NBoVAgQJ6U1MVXOaj8PK2l7WJ3RER9xtqwdhxkhw/edit?usp=sharing"",""กาญจนบุรี!J408"")"),0.0)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IFERROR(__xludf.DUMMYFUNCTION("IMPORTRANGE(""https://docs.google.com/spreadsheets/d/1SX6NBoVAgQJ6U1MVXOaj8PK2l7WJ3RER9xtqwdhxkhw/edit?usp=sharing"",""กาญจนบุรี!I409"")"),0.0)</f>
        <v>0</v>
      </c>
      <c r="J514" s="232">
        <f>IFERROR(__xludf.DUMMYFUNCTION("IMPORTRANGE(""https://docs.google.com/spreadsheets/d/1SX6NBoVAgQJ6U1MVXOaj8PK2l7WJ3RER9xtqwdhxkhw/edit?usp=sharing"",""กาญจนบุรี!J409"")"),0.0)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IFERROR(__xludf.DUMMYFUNCTION("IMPORTRANGE(""https://docs.google.com/spreadsheets/d/1SX6NBoVAgQJ6U1MVXOaj8PK2l7WJ3RER9xtqwdhxkhw/edit?usp=sharing"",""กาญจนบุรี!I410"")"),0.0)</f>
        <v>0</v>
      </c>
      <c r="J515" s="232">
        <f>IFERROR(__xludf.DUMMYFUNCTION("IMPORTRANGE(""https://docs.google.com/spreadsheets/d/1SX6NBoVAgQJ6U1MVXOaj8PK2l7WJ3RER9xtqwdhxkhw/edit?usp=sharing"",""กาญจนบุรี!J410"")"),0.0)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IFERROR(__xludf.DUMMYFUNCTION("IMPORTRANGE(""https://docs.google.com/spreadsheets/d/1SX6NBoVAgQJ6U1MVXOaj8PK2l7WJ3RER9xtqwdhxkhw/edit?usp=sharing"",""กาญจนบุรี!I411"")"),0.0)</f>
        <v>0</v>
      </c>
      <c r="J516" s="301">
        <f>IFERROR(__xludf.DUMMYFUNCTION("IMPORTRANGE(""https://docs.google.com/spreadsheets/d/1SX6NBoVAgQJ6U1MVXOaj8PK2l7WJ3RER9xtqwdhxkhw/edit?usp=sharing"",""กาญจนบุรี!J411"")"),0.0)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IFERROR(__xludf.DUMMYFUNCTION("IMPORTRANGE(""https://docs.google.com/spreadsheets/d/1SX6NBoVAgQJ6U1MVXOaj8PK2l7WJ3RER9xtqwdhxkhw/edit?usp=sharing"",""กาญจนบุรี!I412"")"),0.0)</f>
        <v>0</v>
      </c>
      <c r="J517" s="317">
        <f>IFERROR(__xludf.DUMMYFUNCTION("IMPORTRANGE(""https://docs.google.com/spreadsheets/d/1SX6NBoVAgQJ6U1MVXOaj8PK2l7WJ3RER9xtqwdhxkhw/edit?usp=sharing"",""กาญจนบุรี!J412"")"),0.0)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IFERROR(__xludf.DUMMYFUNCTION("IMPORTRANGE(""https://docs.google.com/spreadsheets/d/1SX6NBoVAgQJ6U1MVXOaj8PK2l7WJ3RER9xtqwdhxkhw/edit?usp=sharing"",""กาญจนบุรี!I413"")"),0.0)</f>
        <v>0</v>
      </c>
      <c r="J518" s="317">
        <f>IFERROR(__xludf.DUMMYFUNCTION("IMPORTRANGE(""https://docs.google.com/spreadsheets/d/1SX6NBoVAgQJ6U1MVXOaj8PK2l7WJ3RER9xtqwdhxkhw/edit?usp=sharing"",""กาญจนบุรี!J413"")"),0.0)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IFERROR(__xludf.DUMMYFUNCTION("IMPORTRANGE(""https://docs.google.com/spreadsheets/d/1SX6NBoVAgQJ6U1MVXOaj8PK2l7WJ3RER9xtqwdhxkhw/edit?usp=sharing"",""กาญจนบุรี!I414"")"),0.0)</f>
        <v>0</v>
      </c>
      <c r="J519" s="222">
        <f>IFERROR(__xludf.DUMMYFUNCTION("IMPORTRANGE(""https://docs.google.com/spreadsheets/d/1SX6NBoVAgQJ6U1MVXOaj8PK2l7WJ3RER9xtqwdhxkhw/edit?usp=sharing"",""กาญจนบุรี!J414"")"),0.0)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IFERROR(__xludf.DUMMYFUNCTION("IMPORTRANGE(""https://docs.google.com/spreadsheets/d/1SX6NBoVAgQJ6U1MVXOaj8PK2l7WJ3RER9xtqwdhxkhw/edit?usp=sharing"",""กาญจนบุรี!I415"")"),0.0)</f>
        <v>0</v>
      </c>
      <c r="J520" s="222">
        <f>IFERROR(__xludf.DUMMYFUNCTION("IMPORTRANGE(""https://docs.google.com/spreadsheets/d/1SX6NBoVAgQJ6U1MVXOaj8PK2l7WJ3RER9xtqwdhxkhw/edit?usp=sharing"",""กาญจนบุรี!J415"")"),0.0)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IFERROR(__xludf.DUMMYFUNCTION("IMPORTRANGE(""https://docs.google.com/spreadsheets/d/1SX6NBoVAgQJ6U1MVXOaj8PK2l7WJ3RER9xtqwdhxkhw/edit?usp=sharing"",""กาญจนบุรี!I416"")"),0.0)</f>
        <v>0</v>
      </c>
      <c r="J521" s="222">
        <f>IFERROR(__xludf.DUMMYFUNCTION("IMPORTRANGE(""https://docs.google.com/spreadsheets/d/1SX6NBoVAgQJ6U1MVXOaj8PK2l7WJ3RER9xtqwdhxkhw/edit?usp=sharing"",""กาญจนบุรี!J416"")"),0.0)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IFERROR(__xludf.DUMMYFUNCTION("IMPORTRANGE(""https://docs.google.com/spreadsheets/d/1SX6NBoVAgQJ6U1MVXOaj8PK2l7WJ3RER9xtqwdhxkhw/edit?usp=sharing"",""กาญจนบุรี!I417"")"),0.0)</f>
        <v>0</v>
      </c>
      <c r="J522" s="222">
        <f>IFERROR(__xludf.DUMMYFUNCTION("IMPORTRANGE(""https://docs.google.com/spreadsheets/d/1SX6NBoVAgQJ6U1MVXOaj8PK2l7WJ3RER9xtqwdhxkhw/edit?usp=sharing"",""กาญจนบุรี!J417"")"),0.0)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IFERROR(__xludf.DUMMYFUNCTION("IMPORTRANGE(""https://docs.google.com/spreadsheets/d/1SX6NBoVAgQJ6U1MVXOaj8PK2l7WJ3RER9xtqwdhxkhw/edit?usp=sharing"",""กาญจนบุรี!I418"")"),0.0)</f>
        <v>0</v>
      </c>
      <c r="J523" s="222">
        <f>IFERROR(__xludf.DUMMYFUNCTION("IMPORTRANGE(""https://docs.google.com/spreadsheets/d/1SX6NBoVAgQJ6U1MVXOaj8PK2l7WJ3RER9xtqwdhxkhw/edit?usp=sharing"",""กาญจนบุรี!J418"")"),0.0)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IFERROR(__xludf.DUMMYFUNCTION("IMPORTRANGE(""https://docs.google.com/spreadsheets/d/1SX6NBoVAgQJ6U1MVXOaj8PK2l7WJ3RER9xtqwdhxkhw/edit?usp=sharing"",""กาญจนบุรี!I419"")"),0.0)</f>
        <v>0</v>
      </c>
      <c r="J524" s="222">
        <f>IFERROR(__xludf.DUMMYFUNCTION("IMPORTRANGE(""https://docs.google.com/spreadsheets/d/1SX6NBoVAgQJ6U1MVXOaj8PK2l7WJ3RER9xtqwdhxkhw/edit?usp=sharing"",""กาญจนบุรี!J419"")"),0.0)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IFERROR(__xludf.DUMMYFUNCTION("IMPORTRANGE(""https://docs.google.com/spreadsheets/d/1SX6NBoVAgQJ6U1MVXOaj8PK2l7WJ3RER9xtqwdhxkhw/edit?usp=sharing"",""กาญจนบุรี!I420"")"),0.0)</f>
        <v>0</v>
      </c>
      <c r="J525" s="317">
        <f>IFERROR(__xludf.DUMMYFUNCTION("IMPORTRANGE(""https://docs.google.com/spreadsheets/d/1SX6NBoVAgQJ6U1MVXOaj8PK2l7WJ3RER9xtqwdhxkhw/edit?usp=sharing"",""กาญจนบุรี!J420"")"),0.0)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IFERROR(__xludf.DUMMYFUNCTION("IMPORTRANGE(""https://docs.google.com/spreadsheets/d/1SX6NBoVAgQJ6U1MVXOaj8PK2l7WJ3RER9xtqwdhxkhw/edit?usp=sharing"",""กาญจนบุรี!I421"")"),0.0)</f>
        <v>0</v>
      </c>
      <c r="J526" s="317">
        <f>IFERROR(__xludf.DUMMYFUNCTION("IMPORTRANGE(""https://docs.google.com/spreadsheets/d/1SX6NBoVAgQJ6U1MVXOaj8PK2l7WJ3RER9xtqwdhxkhw/edit?usp=sharing"",""กาญจนบุรี!J421"")"),0.0)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IFERROR(__xludf.DUMMYFUNCTION("IMPORTRANGE(""https://docs.google.com/spreadsheets/d/1SX6NBoVAgQJ6U1MVXOaj8PK2l7WJ3RER9xtqwdhxkhw/edit?usp=sharing"",""กาญจนบุรี!I422"")"),0.0)</f>
        <v>0</v>
      </c>
      <c r="J527" s="232">
        <f>IFERROR(__xludf.DUMMYFUNCTION("IMPORTRANGE(""https://docs.google.com/spreadsheets/d/1SX6NBoVAgQJ6U1MVXOaj8PK2l7WJ3RER9xtqwdhxkhw/edit?usp=sharing"",""กาญจนบุรี!J422"")"),0.0)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IFERROR(__xludf.DUMMYFUNCTION("IMPORTRANGE(""https://docs.google.com/spreadsheets/d/1SX6NBoVAgQJ6U1MVXOaj8PK2l7WJ3RER9xtqwdhxkhw/edit?usp=sharing"",""กาญจนบุรี!I423"")"),0.0)</f>
        <v>0</v>
      </c>
      <c r="J528" s="232">
        <f>IFERROR(__xludf.DUMMYFUNCTION("IMPORTRANGE(""https://docs.google.com/spreadsheets/d/1SX6NBoVAgQJ6U1MVXOaj8PK2l7WJ3RER9xtqwdhxkhw/edit?usp=sharing"",""กาญจนบุรี!J423"")"),0.0)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IFERROR(__xludf.DUMMYFUNCTION("IMPORTRANGE(""https://docs.google.com/spreadsheets/d/1SX6NBoVAgQJ6U1MVXOaj8PK2l7WJ3RER9xtqwdhxkhw/edit?usp=sharing"",""กาญจนบุรี!I424"")"),0.0)</f>
        <v>0</v>
      </c>
      <c r="J529" s="232">
        <f>IFERROR(__xludf.DUMMYFUNCTION("IMPORTRANGE(""https://docs.google.com/spreadsheets/d/1SX6NBoVAgQJ6U1MVXOaj8PK2l7WJ3RER9xtqwdhxkhw/edit?usp=sharing"",""กาญจนบุรี!J424"")"),0.0)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IFERROR(__xludf.DUMMYFUNCTION("IMPORTRANGE(""https://docs.google.com/spreadsheets/d/1SX6NBoVAgQJ6U1MVXOaj8PK2l7WJ3RER9xtqwdhxkhw/edit?usp=sharing"",""กาญจนบุรี!I425"")"),0.0)</f>
        <v>0</v>
      </c>
      <c r="J530" s="232">
        <f>IFERROR(__xludf.DUMMYFUNCTION("IMPORTRANGE(""https://docs.google.com/spreadsheets/d/1SX6NBoVAgQJ6U1MVXOaj8PK2l7WJ3RER9xtqwdhxkhw/edit?usp=sharing"",""กาญจนบุรี!J425"")"),0.0)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IFERROR(__xludf.DUMMYFUNCTION("IMPORTRANGE(""https://docs.google.com/spreadsheets/d/1SX6NBoVAgQJ6U1MVXOaj8PK2l7WJ3RER9xtqwdhxkhw/edit?usp=sharing"",""กาญจนบุรี!I426"")"),0.0)</f>
        <v>0</v>
      </c>
      <c r="J531" s="232">
        <f>IFERROR(__xludf.DUMMYFUNCTION("IMPORTRANGE(""https://docs.google.com/spreadsheets/d/1SX6NBoVAgQJ6U1MVXOaj8PK2l7WJ3RER9xtqwdhxkhw/edit?usp=sharing"",""กาญจนบุรี!J426"")"),0.0)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IFERROR(__xludf.DUMMYFUNCTION("IMPORTRANGE(""https://docs.google.com/spreadsheets/d/1SX6NBoVAgQJ6U1MVXOaj8PK2l7WJ3RER9xtqwdhxkhw/edit?usp=sharing"",""กาญจนบุรี!I427"")"),0.0)</f>
        <v>0</v>
      </c>
      <c r="J532" s="499">
        <f>IFERROR(__xludf.DUMMYFUNCTION("IMPORTRANGE(""https://docs.google.com/spreadsheets/d/1SX6NBoVAgQJ6U1MVXOaj8PK2l7WJ3RER9xtqwdhxkhw/edit?usp=sharing"",""กาญจนบุรี!J427"")"),0.0)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IFERROR(__xludf.DUMMYFUNCTION("IMPORTRANGE(""https://docs.google.com/spreadsheets/d/1SX6NBoVAgQJ6U1MVXOaj8PK2l7WJ3RER9xtqwdhxkhw/edit?usp=sharing"",""กาญจนบุรี!I428"")"),28.0)</f>
        <v>28</v>
      </c>
      <c r="J533" s="443">
        <f>IFERROR(__xludf.DUMMYFUNCTION("IMPORTRANGE(""https://docs.google.com/spreadsheets/d/1SX6NBoVAgQJ6U1MVXOaj8PK2l7WJ3RER9xtqwdhxkhw/edit?usp=sharing"",""กาญจนบุรี!J428"")"),0.0)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IFERROR(__xludf.DUMMYFUNCTION("IMPORTRANGE(""https://docs.google.com/spreadsheets/d/1SX6NBoVAgQJ6U1MVXOaj8PK2l7WJ3RER9xtqwdhxkhw/edit?usp=sharing"",""กาญจนบุรี!L428"")"),39440.0)</f>
        <v>39440</v>
      </c>
      <c r="M533" s="445"/>
      <c r="N533" s="445">
        <f>IFERROR(__xludf.DUMMYFUNCTION("IMPORTRANGE(""https://docs.google.com/spreadsheets/d/1SX6NBoVAgQJ6U1MVXOaj8PK2l7WJ3RER9xtqwdhxkhw/edit?usp=sharing"",""กาญจนบุรี!M428"")"),0.0)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IFERROR(__xludf.DUMMYFUNCTION("IMPORTRANGE(""https://docs.google.com/spreadsheets/d/1SX6NBoVAgQJ6U1MVXOaj8PK2l7WJ3RER9xtqwdhxkhw/edit?usp=sharing"",""กาญจนบุรี!L429"")"),0.0)</f>
        <v>0</v>
      </c>
      <c r="M534" s="197"/>
      <c r="N534" s="203">
        <f>IFERROR(__xludf.DUMMYFUNCTION("IMPORTRANGE(""https://docs.google.com/spreadsheets/d/1SX6NBoVAgQJ6U1MVXOaj8PK2l7WJ3RER9xtqwdhxkhw/edit?usp=sharing"",""กาญจนบุรี!M429"")"),0.0)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IFERROR(__xludf.DUMMYFUNCTION("IMPORTRANGE(""https://docs.google.com/spreadsheets/d/1SX6NBoVAgQJ6U1MVXOaj8PK2l7WJ3RER9xtqwdhxkhw/edit?usp=sharing"",""กาญจนบุรี!L430"")"),39440.0)</f>
        <v>39440</v>
      </c>
      <c r="M535" s="198"/>
      <c r="N535" s="203">
        <f>IFERROR(__xludf.DUMMYFUNCTION("IMPORTRANGE(""https://docs.google.com/spreadsheets/d/1SX6NBoVAgQJ6U1MVXOaj8PK2l7WJ3RER9xtqwdhxkhw/edit?usp=sharing"",""กาญจนบุรี!M430"")"),0.0)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IFERROR(__xludf.DUMMYFUNCTION("IMPORTRANGE(""https://docs.google.com/spreadsheets/d/1SX6NBoVAgQJ6U1MVXOaj8PK2l7WJ3RER9xtqwdhxkhw/edit?usp=sharing"",""กาญจนบุรี!L431"")"),0.0)</f>
        <v>0</v>
      </c>
      <c r="M536" s="203"/>
      <c r="N536" s="203">
        <f>IFERROR(__xludf.DUMMYFUNCTION("IMPORTRANGE(""https://docs.google.com/spreadsheets/d/1SX6NBoVAgQJ6U1MVXOaj8PK2l7WJ3RER9xtqwdhxkhw/edit?usp=sharing"",""กาญจนบุรี!M431"")"),0.0)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IFERROR(__xludf.DUMMYFUNCTION("IMPORTRANGE(""https://docs.google.com/spreadsheets/d/1SX6NBoVAgQJ6U1MVXOaj8PK2l7WJ3RER9xtqwdhxkhw/edit?usp=sharing"",""กาญจนบุรี!L432"")"),39440.0)</f>
        <v>39440</v>
      </c>
      <c r="M537" s="203"/>
      <c r="N537" s="203">
        <f>IFERROR(__xludf.DUMMYFUNCTION("IMPORTRANGE(""https://docs.google.com/spreadsheets/d/1SX6NBoVAgQJ6U1MVXOaj8PK2l7WJ3RER9xtqwdhxkhw/edit?usp=sharing"",""กาญจนบุรี!M432"")"),0.0)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IFERROR(__xludf.DUMMYFUNCTION("IMPORTRANGE(""https://docs.google.com/spreadsheets/d/1SX6NBoVAgQJ6U1MVXOaj8PK2l7WJ3RER9xtqwdhxkhw/edit?usp=sharing"",""กาญจนบุรี!M433"")"),0.0)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IFERROR(__xludf.DUMMYFUNCTION("IMPORTRANGE(""https://docs.google.com/spreadsheets/d/1SX6NBoVAgQJ6U1MVXOaj8PK2l7WJ3RER9xtqwdhxkhw/edit?usp=sharing"",""กาญจนบุรี!M434"")"),0.0)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IFERROR(__xludf.DUMMYFUNCTION("IMPORTRANGE(""https://docs.google.com/spreadsheets/d/1SX6NBoVAgQJ6U1MVXOaj8PK2l7WJ3RER9xtqwdhxkhw/edit?usp=sharing"",""กาญจนบุรี!M435"")"),0.0)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IFERROR(__xludf.DUMMYFUNCTION("IMPORTRANGE(""https://docs.google.com/spreadsheets/d/1SX6NBoVAgQJ6U1MVXOaj8PK2l7WJ3RER9xtqwdhxkhw/edit?usp=sharing"",""กาญจนบุรี!M436"")"),0.0)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IFERROR(__xludf.DUMMYFUNCTION("IMPORTRANGE(""https://docs.google.com/spreadsheets/d/1SX6NBoVAgQJ6U1MVXOaj8PK2l7WJ3RER9xtqwdhxkhw/edit?usp=sharing"",""กาญจนบุรี!J438"")"),0.0)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IFERROR(__xludf.DUMMYFUNCTION("IMPORTRANGE(""https://docs.google.com/spreadsheets/d/1SX6NBoVAgQJ6U1MVXOaj8PK2l7WJ3RER9xtqwdhxkhw/edit?usp=sharing"",""กาญจนบุรี!J439"")"),1.0)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IFERROR(__xludf.DUMMYFUNCTION("IMPORTRANGE(""https://docs.google.com/spreadsheets/d/1SX6NBoVAgQJ6U1MVXOaj8PK2l7WJ3RER9xtqwdhxkhw/edit?usp=sharing"",""กาญจนบุรี!J440"")"),1.0)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IFERROR(__xludf.DUMMYFUNCTION("IMPORTRANGE(""https://docs.google.com/spreadsheets/d/1SX6NBoVAgQJ6U1MVXOaj8PK2l7WJ3RER9xtqwdhxkhw/edit?usp=sharing"",""กาญจนบุรี!J441"")"),1.0)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IFERROR(__xludf.DUMMYFUNCTION("IMPORTRANGE(""https://docs.google.com/spreadsheets/d/1SX6NBoVAgQJ6U1MVXOaj8PK2l7WJ3RER9xtqwdhxkhw/edit?usp=sharing"",""กาญจนบุรี!I442"")"),28.0)</f>
        <v>28</v>
      </c>
      <c r="J547" s="223">
        <f>IFERROR(__xludf.DUMMYFUNCTION("IMPORTRANGE(""https://docs.google.com/spreadsheets/d/1SX6NBoVAgQJ6U1MVXOaj8PK2l7WJ3RER9xtqwdhxkhw/edit?usp=sharing"",""กาญจนบุรี!J442"")"),0.0)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IFERROR(__xludf.DUMMYFUNCTION("IMPORTRANGE(""https://docs.google.com/spreadsheets/d/1SX6NBoVAgQJ6U1MVXOaj8PK2l7WJ3RER9xtqwdhxkhw/edit?usp=sharing"",""กาญจนบุรี!J166"")"),0.0)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IFERROR(__xludf.DUMMYFUNCTION("IMPORTRANGE(""https://docs.google.com/spreadsheets/d/1SX6NBoVAgQJ6U1MVXOaj8PK2l7WJ3RER9xtqwdhxkhw/edit?usp=sharing"",""กาญจนบุรี!J444"")"),0.0)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IFERROR(__xludf.DUMMYFUNCTION("IMPORTRANGE(""https://docs.google.com/spreadsheets/d/1SX6NBoVAgQJ6U1MVXOaj8PK2l7WJ3RER9xtqwdhxkhw/edit?usp=sharing"",""กาญจนบุรี!J445"")"),0.0)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IFERROR(__xludf.DUMMYFUNCTION("IMPORTRANGE(""https://docs.google.com/spreadsheets/d/1SX6NBoVAgQJ6U1MVXOaj8PK2l7WJ3RER9xtqwdhxkhw/edit?usp=sharing"",""กาญจนบุรี!I446"")"),3000.0)</f>
        <v>3000</v>
      </c>
      <c r="J551" s="443">
        <f>IFERROR(__xludf.DUMMYFUNCTION("IMPORTRANGE(""https://docs.google.com/spreadsheets/d/1SX6NBoVAgQJ6U1MVXOaj8PK2l7WJ3RER9xtqwdhxkhw/edit?usp=sharing"",""กาญจนบุรี!J446"")"),0.0)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IFERROR(__xludf.DUMMYFUNCTION("IMPORTRANGE(""https://docs.google.com/spreadsheets/d/1SX6NBoVAgQJ6U1MVXOaj8PK2l7WJ3RER9xtqwdhxkhw/edit?usp=sharing"",""กาญจนบุรี!L446"")"),198000.0)</f>
        <v>198000</v>
      </c>
      <c r="M551" s="445"/>
      <c r="N551" s="445">
        <f>IFERROR(__xludf.DUMMYFUNCTION("IMPORTRANGE(""https://docs.google.com/spreadsheets/d/1SX6NBoVAgQJ6U1MVXOaj8PK2l7WJ3RER9xtqwdhxkhw/edit?usp=sharing"",""กาญจนบุรี!M446"")"),22320.0)</f>
        <v>22320</v>
      </c>
      <c r="O551" s="445">
        <f t="shared" ref="O551:O555" si="121">+IF(L551&gt;0,N551*100/L551,0)</f>
        <v>11.27272727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IFERROR(__xludf.DUMMYFUNCTION("IMPORTRANGE(""https://docs.google.com/spreadsheets/d/1SX6NBoVAgQJ6U1MVXOaj8PK2l7WJ3RER9xtqwdhxkhw/edit?usp=sharing"",""กาญจนบุรี!L447"")"),0.0)</f>
        <v>0</v>
      </c>
      <c r="M552" s="197"/>
      <c r="N552" s="203">
        <f>IFERROR(__xludf.DUMMYFUNCTION("IMPORTRANGE(""https://docs.google.com/spreadsheets/d/1SX6NBoVAgQJ6U1MVXOaj8PK2l7WJ3RER9xtqwdhxkhw/edit?usp=sharing"",""กาญจนบุรี!M447"")"),0.0)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IFERROR(__xludf.DUMMYFUNCTION("IMPORTRANGE(""https://docs.google.com/spreadsheets/d/1SX6NBoVAgQJ6U1MVXOaj8PK2l7WJ3RER9xtqwdhxkhw/edit?usp=sharing"",""กาญจนบุรี!L448"")"),198000.0)</f>
        <v>198000</v>
      </c>
      <c r="M553" s="198"/>
      <c r="N553" s="203">
        <f>IFERROR(__xludf.DUMMYFUNCTION("IMPORTRANGE(""https://docs.google.com/spreadsheets/d/1SX6NBoVAgQJ6U1MVXOaj8PK2l7WJ3RER9xtqwdhxkhw/edit?usp=sharing"",""กาญจนบุรี!M448"")"),22320.0)</f>
        <v>22320</v>
      </c>
      <c r="O553" s="203">
        <f t="shared" si="121"/>
        <v>11.27272727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IFERROR(__xludf.DUMMYFUNCTION("IMPORTRANGE(""https://docs.google.com/spreadsheets/d/1SX6NBoVAgQJ6U1MVXOaj8PK2l7WJ3RER9xtqwdhxkhw/edit?usp=sharing"",""กาญจนบุรี!L449"")"),0.0)</f>
        <v>0</v>
      </c>
      <c r="M554" s="203"/>
      <c r="N554" s="203">
        <f>IFERROR(__xludf.DUMMYFUNCTION("IMPORTRANGE(""https://docs.google.com/spreadsheets/d/1SX6NBoVAgQJ6U1MVXOaj8PK2l7WJ3RER9xtqwdhxkhw/edit?usp=sharing"",""กาญจนบุรี!M449"")"),0.0)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IFERROR(__xludf.DUMMYFUNCTION("IMPORTRANGE(""https://docs.google.com/spreadsheets/d/1SX6NBoVAgQJ6U1MVXOaj8PK2l7WJ3RER9xtqwdhxkhw/edit?usp=sharing"",""กาญจนบุรี!L450"")"),198000.0)</f>
        <v>198000</v>
      </c>
      <c r="M555" s="203"/>
      <c r="N555" s="203">
        <f>IFERROR(__xludf.DUMMYFUNCTION("IMPORTRANGE(""https://docs.google.com/spreadsheets/d/1SX6NBoVAgQJ6U1MVXOaj8PK2l7WJ3RER9xtqwdhxkhw/edit?usp=sharing"",""กาญจนบุรี!M450"")"),22320.0)</f>
        <v>22320</v>
      </c>
      <c r="O555" s="203">
        <f t="shared" si="121"/>
        <v>11.27272727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IFERROR(__xludf.DUMMYFUNCTION("IMPORTRANGE(""https://docs.google.com/spreadsheets/d/1SX6NBoVAgQJ6U1MVXOaj8PK2l7WJ3RER9xtqwdhxkhw/edit?usp=sharing"",""กาญจนบุรี!M451"")"),0.0)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IFERROR(__xludf.DUMMYFUNCTION("IMPORTRANGE(""https://docs.google.com/spreadsheets/d/1SX6NBoVAgQJ6U1MVXOaj8PK2l7WJ3RER9xtqwdhxkhw/edit?usp=sharing"",""กาญจนบุรี!M452"")"),0.0)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IFERROR(__xludf.DUMMYFUNCTION("IMPORTRANGE(""https://docs.google.com/spreadsheets/d/1SX6NBoVAgQJ6U1MVXOaj8PK2l7WJ3RER9xtqwdhxkhw/edit?usp=sharing"",""กาญจนบุรี!M453"")"),0.0)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IFERROR(__xludf.DUMMYFUNCTION("IMPORTRANGE(""https://docs.google.com/spreadsheets/d/1SX6NBoVAgQJ6U1MVXOaj8PK2l7WJ3RER9xtqwdhxkhw/edit?usp=sharing"",""กาญจนบุรี!M454"")"),22320.0)</f>
        <v>22320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IFERROR(__xludf.DUMMYFUNCTION("IMPORTRANGE(""https://docs.google.com/spreadsheets/d/1SX6NBoVAgQJ6U1MVXOaj8PK2l7WJ3RER9xtqwdhxkhw/edit?usp=sharing"",""กาญจนบุรี!I455"")"),3000.0)</f>
        <v>3000</v>
      </c>
      <c r="J560" s="195">
        <f>IFERROR(__xludf.DUMMYFUNCTION("IMPORTRANGE(""https://docs.google.com/spreadsheets/d/1SX6NBoVAgQJ6U1MVXOaj8PK2l7WJ3RER9xtqwdhxkhw/edit?usp=sharing"",""กาญจนบุรี!J455"")"),0.0)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IFERROR(__xludf.DUMMYFUNCTION("IMPORTRANGE(""https://docs.google.com/spreadsheets/d/1SX6NBoVAgQJ6U1MVXOaj8PK2l7WJ3RER9xtqwdhxkhw/edit?usp=sharing"",""กาญจนบุรี!I456"")"),0.0)</f>
        <v>0</v>
      </c>
      <c r="J561" s="238">
        <f>IFERROR(__xludf.DUMMYFUNCTION("IMPORTRANGE(""https://docs.google.com/spreadsheets/d/1SX6NBoVAgQJ6U1MVXOaj8PK2l7WJ3RER9xtqwdhxkhw/edit?usp=sharing"",""กาญจนบุรี!J456"")"),0.0)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IFERROR(__xludf.DUMMYFUNCTION("IMPORTRANGE(""https://docs.google.com/spreadsheets/d/1SX6NBoVAgQJ6U1MVXOaj8PK2l7WJ3RER9xtqwdhxkhw/edit?usp=sharing"",""กาญจนบุรี!I457"")"),"")</f>
        <v/>
      </c>
      <c r="J562" s="238" t="str">
        <f>IFERROR(__xludf.DUMMYFUNCTION("IMPORTRANGE(""https://docs.google.com/spreadsheets/d/1SX6NBoVAgQJ6U1MVXOaj8PK2l7WJ3RER9xtqwdhxkhw/edit?usp=sharing"",""กาญจนบุรี!J457"")"),"")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IFERROR(__xludf.DUMMYFUNCTION("IMPORTRANGE(""https://docs.google.com/spreadsheets/d/1SX6NBoVAgQJ6U1MVXOaj8PK2l7WJ3RER9xtqwdhxkhw/edit?usp=sharing"",""กาญจนบุรี!I458"")"),"")</f>
        <v/>
      </c>
      <c r="J563" s="222" t="str">
        <f>IFERROR(__xludf.DUMMYFUNCTION("IMPORTRANGE(""https://docs.google.com/spreadsheets/d/1SX6NBoVAgQJ6U1MVXOaj8PK2l7WJ3RER9xtqwdhxkhw/edit?usp=sharing"",""กาญจนบุรี!J458"")"),"")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IFERROR(__xludf.DUMMYFUNCTION("IMPORTRANGE(""https://docs.google.com/spreadsheets/d/1SX6NBoVAgQJ6U1MVXOaj8PK2l7WJ3RER9xtqwdhxkhw/edit?usp=sharing"",""กาญจนบุรี!I459"")"),1900.0)</f>
        <v>1900</v>
      </c>
      <c r="J564" s="404">
        <f>IFERROR(__xludf.DUMMYFUNCTION("IMPORTRANGE(""https://docs.google.com/spreadsheets/d/1SX6NBoVAgQJ6U1MVXOaj8PK2l7WJ3RER9xtqwdhxkhw/edit?usp=sharing"",""กาญจนบุรี!J459"")"),859.0)</f>
        <v>859</v>
      </c>
      <c r="K564" s="405">
        <f t="shared" si="122"/>
        <v>45.21052632</v>
      </c>
      <c r="L564" s="406">
        <f>IFERROR(__xludf.DUMMYFUNCTION("IMPORTRANGE(""https://docs.google.com/spreadsheets/d/1SX6NBoVAgQJ6U1MVXOaj8PK2l7WJ3RER9xtqwdhxkhw/edit?usp=sharing"",""กาญจนบุรี!L459"")"),138000.0)</f>
        <v>138000</v>
      </c>
      <c r="M564" s="406"/>
      <c r="N564" s="406">
        <f>IFERROR(__xludf.DUMMYFUNCTION("IMPORTRANGE(""https://docs.google.com/spreadsheets/d/1SX6NBoVAgQJ6U1MVXOaj8PK2l7WJ3RER9xtqwdhxkhw/edit?usp=sharing"",""กาญจนบุรี!M459"")"),31709.0)</f>
        <v>31709</v>
      </c>
      <c r="O564" s="406">
        <f t="shared" ref="O564:O568" si="123">+IF(L564&gt;0,N564*100/L564,0)</f>
        <v>22.97753623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IFERROR(__xludf.DUMMYFUNCTION("IMPORTRANGE(""https://docs.google.com/spreadsheets/d/1SX6NBoVAgQJ6U1MVXOaj8PK2l7WJ3RER9xtqwdhxkhw/edit?usp=sharing"",""กาญจนบุรี!L460"")"),0.0)</f>
        <v>0</v>
      </c>
      <c r="M565" s="197"/>
      <c r="N565" s="203">
        <f>IFERROR(__xludf.DUMMYFUNCTION("IMPORTRANGE(""https://docs.google.com/spreadsheets/d/1SX6NBoVAgQJ6U1MVXOaj8PK2l7WJ3RER9xtqwdhxkhw/edit?usp=sharing"",""กาญจนบุรี!M460"")"),0.0)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IFERROR(__xludf.DUMMYFUNCTION("IMPORTRANGE(""https://docs.google.com/spreadsheets/d/1SX6NBoVAgQJ6U1MVXOaj8PK2l7WJ3RER9xtqwdhxkhw/edit?usp=sharing"",""กาญจนบุรี!L461"")"),138000.0)</f>
        <v>138000</v>
      </c>
      <c r="M566" s="198"/>
      <c r="N566" s="203">
        <f>IFERROR(__xludf.DUMMYFUNCTION("IMPORTRANGE(""https://docs.google.com/spreadsheets/d/1SX6NBoVAgQJ6U1MVXOaj8PK2l7WJ3RER9xtqwdhxkhw/edit?usp=sharing"",""กาญจนบุรี!M461"")"),31709.0)</f>
        <v>31709</v>
      </c>
      <c r="O566" s="203">
        <f t="shared" si="123"/>
        <v>22.97753623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IFERROR(__xludf.DUMMYFUNCTION("IMPORTRANGE(""https://docs.google.com/spreadsheets/d/1SX6NBoVAgQJ6U1MVXOaj8PK2l7WJ3RER9xtqwdhxkhw/edit?usp=sharing"",""กาญจนบุรี!L462"")"),0.0)</f>
        <v>0</v>
      </c>
      <c r="M567" s="203"/>
      <c r="N567" s="203">
        <f>IFERROR(__xludf.DUMMYFUNCTION("IMPORTRANGE(""https://docs.google.com/spreadsheets/d/1SX6NBoVAgQJ6U1MVXOaj8PK2l7WJ3RER9xtqwdhxkhw/edit?usp=sharing"",""กาญจนบุรี!M462"")"),0.0)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IFERROR(__xludf.DUMMYFUNCTION("IMPORTRANGE(""https://docs.google.com/spreadsheets/d/1SX6NBoVAgQJ6U1MVXOaj8PK2l7WJ3RER9xtqwdhxkhw/edit?usp=sharing"",""กาญจนบุรี!L463"")"),138000.0)</f>
        <v>138000</v>
      </c>
      <c r="M568" s="203"/>
      <c r="N568" s="203">
        <f>IFERROR(__xludf.DUMMYFUNCTION("IMPORTRANGE(""https://docs.google.com/spreadsheets/d/1SX6NBoVAgQJ6U1MVXOaj8PK2l7WJ3RER9xtqwdhxkhw/edit?usp=sharing"",""กาญจนบุรี!M463"")"),31709.0)</f>
        <v>31709</v>
      </c>
      <c r="O568" s="203">
        <f t="shared" si="123"/>
        <v>22.97753623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IFERROR(__xludf.DUMMYFUNCTION("IMPORTRANGE(""https://docs.google.com/spreadsheets/d/1SX6NBoVAgQJ6U1MVXOaj8PK2l7WJ3RER9xtqwdhxkhw/edit?usp=sharing"",""กาญจนบุรี!M464"")"),0.0)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IFERROR(__xludf.DUMMYFUNCTION("IMPORTRANGE(""https://docs.google.com/spreadsheets/d/1SX6NBoVAgQJ6U1MVXOaj8PK2l7WJ3RER9xtqwdhxkhw/edit?usp=sharing"",""กาญจนบุรี!M465"")"),0.0)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IFERROR(__xludf.DUMMYFUNCTION("IMPORTRANGE(""https://docs.google.com/spreadsheets/d/1SX6NBoVAgQJ6U1MVXOaj8PK2l7WJ3RER9xtqwdhxkhw/edit?usp=sharing"",""กาญจนบุรี!M466"")"),20909.0)</f>
        <v>20909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IFERROR(__xludf.DUMMYFUNCTION("IMPORTRANGE(""https://docs.google.com/spreadsheets/d/1SX6NBoVAgQJ6U1MVXOaj8PK2l7WJ3RER9xtqwdhxkhw/edit?usp=sharing"",""กาญจนบุรี!M467"")"),10800.0)</f>
        <v>10800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IFERROR(__xludf.DUMMYFUNCTION("IMPORTRANGE(""https://docs.google.com/spreadsheets/d/1SX6NBoVAgQJ6U1MVXOaj8PK2l7WJ3RER9xtqwdhxkhw/edit?usp=sharing"",""กาญจนบุรี!I468"")"),1900.0)</f>
        <v>1900</v>
      </c>
      <c r="J573" s="453">
        <f>IFERROR(__xludf.DUMMYFUNCTION("IMPORTRANGE(""https://docs.google.com/spreadsheets/d/1SX6NBoVAgQJ6U1MVXOaj8PK2l7WJ3RER9xtqwdhxkhw/edit?usp=sharing"",""กาญจนบุรี!J468"")"),859.0)</f>
        <v>859</v>
      </c>
      <c r="K573" s="236">
        <f>IF(I573&gt;0,J573*100/I573,0)</f>
        <v>45.21052632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IFERROR(__xludf.DUMMYFUNCTION("IMPORTRANGE(""https://docs.google.com/spreadsheets/d/1SX6NBoVAgQJ6U1MVXOaj8PK2l7WJ3RER9xtqwdhxkhw/edit?usp=sharing"",""กาญจนบุรี!I470"")"),0.0)</f>
        <v>0</v>
      </c>
      <c r="J575" s="232">
        <f>IFERROR(__xludf.DUMMYFUNCTION("IMPORTRANGE(""https://docs.google.com/spreadsheets/d/1SX6NBoVAgQJ6U1MVXOaj8PK2l7WJ3RER9xtqwdhxkhw/edit?usp=sharing"",""กาญจนบุรี!J470"")"),5.0)</f>
        <v>5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IFERROR(__xludf.DUMMYFUNCTION("IMPORTRANGE(""https://docs.google.com/spreadsheets/d/1SX6NBoVAgQJ6U1MVXOaj8PK2l7WJ3RER9xtqwdhxkhw/edit?usp=sharing"",""กาญจนบุรี!I471"")"),0.0)</f>
        <v>0</v>
      </c>
      <c r="J576" s="232">
        <f>IFERROR(__xludf.DUMMYFUNCTION("IMPORTRANGE(""https://docs.google.com/spreadsheets/d/1SX6NBoVAgQJ6U1MVXOaj8PK2l7WJ3RER9xtqwdhxkhw/edit?usp=sharing"",""กาญจนบุรี!J471"")"),154.0)</f>
        <v>154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IFERROR(__xludf.DUMMYFUNCTION("IMPORTRANGE(""https://docs.google.com/spreadsheets/d/1SX6NBoVAgQJ6U1MVXOaj8PK2l7WJ3RER9xtqwdhxkhw/edit?usp=sharing"",""กาญจนบุรี!I472"")"),0.0)</f>
        <v>0</v>
      </c>
      <c r="J577" s="223">
        <f>IFERROR(__xludf.DUMMYFUNCTION("IMPORTRANGE(""https://docs.google.com/spreadsheets/d/1SX6NBoVAgQJ6U1MVXOaj8PK2l7WJ3RER9xtqwdhxkhw/edit?usp=sharing"",""กาญจนบุรี!J472"")"),705.0)</f>
        <v>705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IFERROR(__xludf.DUMMYFUNCTION("IMPORTRANGE(""https://docs.google.com/spreadsheets/d/1SX6NBoVAgQJ6U1MVXOaj8PK2l7WJ3RER9xtqwdhxkhw/edit?usp=sharing"",""กาญจนบุรี!I473"")"),0.0)</f>
        <v>0</v>
      </c>
      <c r="J578" s="232">
        <f>IFERROR(__xludf.DUMMYFUNCTION("IMPORTRANGE(""https://docs.google.com/spreadsheets/d/1SX6NBoVAgQJ6U1MVXOaj8PK2l7WJ3RER9xtqwdhxkhw/edit?usp=sharing"",""กาญจนบุรี!J473"")"),0.0)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IFERROR(__xludf.DUMMYFUNCTION("IMPORTRANGE(""https://docs.google.com/spreadsheets/d/1SX6NBoVAgQJ6U1MVXOaj8PK2l7WJ3RER9xtqwdhxkhw/edit?usp=sharing"",""กาญจนบุรี!I474"")"),0.0)</f>
        <v>0</v>
      </c>
      <c r="J579" s="232">
        <f>IFERROR(__xludf.DUMMYFUNCTION("IMPORTRANGE(""https://docs.google.com/spreadsheets/d/1SX6NBoVAgQJ6U1MVXOaj8PK2l7WJ3RER9xtqwdhxkhw/edit?usp=sharing"",""กาญจนบุรี!J474"")"),0.0)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IFERROR(__xludf.DUMMYFUNCTION("IMPORTRANGE(""https://docs.google.com/spreadsheets/d/1SX6NBoVAgQJ6U1MVXOaj8PK2l7WJ3RER9xtqwdhxkhw/edit?usp=sharing"",""กาญจนบุรี!I475"")"),0.0)</f>
        <v>0</v>
      </c>
      <c r="J580" s="404">
        <f>IFERROR(__xludf.DUMMYFUNCTION("IMPORTRANGE(""https://docs.google.com/spreadsheets/d/1SX6NBoVAgQJ6U1MVXOaj8PK2l7WJ3RER9xtqwdhxkhw/edit?usp=sharing"",""กาญจนบุรี!J475"")"),0.0)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IFERROR(__xludf.DUMMYFUNCTION("IMPORTRANGE(""https://docs.google.com/spreadsheets/d/1SX6NBoVAgQJ6U1MVXOaj8PK2l7WJ3RER9xtqwdhxkhw/edit?usp=sharing"",""กาญจนบุรี!L475"")"),0.0)</f>
        <v>0</v>
      </c>
      <c r="M580" s="406"/>
      <c r="N580" s="406">
        <f>IFERROR(__xludf.DUMMYFUNCTION("IMPORTRANGE(""https://docs.google.com/spreadsheets/d/1SX6NBoVAgQJ6U1MVXOaj8PK2l7WJ3RER9xtqwdhxkhw/edit?usp=sharing"",""กาญจนบุรี!M475"")"),0.0)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IFERROR(__xludf.DUMMYFUNCTION("IMPORTRANGE(""https://docs.google.com/spreadsheets/d/1SX6NBoVAgQJ6U1MVXOaj8PK2l7WJ3RER9xtqwdhxkhw/edit?usp=sharing"",""กาญจนบุรี!L476"")"),0.0)</f>
        <v>0</v>
      </c>
      <c r="M581" s="197"/>
      <c r="N581" s="203">
        <f>IFERROR(__xludf.DUMMYFUNCTION("IMPORTRANGE(""https://docs.google.com/spreadsheets/d/1SX6NBoVAgQJ6U1MVXOaj8PK2l7WJ3RER9xtqwdhxkhw/edit?usp=sharing"",""กาญจนบุรี!M476"")"),0.0)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IFERROR(__xludf.DUMMYFUNCTION("IMPORTRANGE(""https://docs.google.com/spreadsheets/d/1SX6NBoVAgQJ6U1MVXOaj8PK2l7WJ3RER9xtqwdhxkhw/edit?usp=sharing"",""กาญจนบุรี!L477"")"),0.0)</f>
        <v>0</v>
      </c>
      <c r="M582" s="198"/>
      <c r="N582" s="203">
        <f>IFERROR(__xludf.DUMMYFUNCTION("IMPORTRANGE(""https://docs.google.com/spreadsheets/d/1SX6NBoVAgQJ6U1MVXOaj8PK2l7WJ3RER9xtqwdhxkhw/edit?usp=sharing"",""กาญจนบุรี!M477"")"),0.0)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IFERROR(__xludf.DUMMYFUNCTION("IMPORTRANGE(""https://docs.google.com/spreadsheets/d/1SX6NBoVAgQJ6U1MVXOaj8PK2l7WJ3RER9xtqwdhxkhw/edit?usp=sharing"",""กาญจนบุรี!L478"")"),0.0)</f>
        <v>0</v>
      </c>
      <c r="M583" s="203"/>
      <c r="N583" s="203">
        <f>IFERROR(__xludf.DUMMYFUNCTION("IMPORTRANGE(""https://docs.google.com/spreadsheets/d/1SX6NBoVAgQJ6U1MVXOaj8PK2l7WJ3RER9xtqwdhxkhw/edit?usp=sharing"",""กาญจนบุรี!M478"")"),0.0)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IFERROR(__xludf.DUMMYFUNCTION("IMPORTRANGE(""https://docs.google.com/spreadsheets/d/1SX6NBoVAgQJ6U1MVXOaj8PK2l7WJ3RER9xtqwdhxkhw/edit?usp=sharing"",""กาญจนบุรี!L479"")"),0.0)</f>
        <v>0</v>
      </c>
      <c r="M584" s="203"/>
      <c r="N584" s="203">
        <f>IFERROR(__xludf.DUMMYFUNCTION("IMPORTRANGE(""https://docs.google.com/spreadsheets/d/1SX6NBoVAgQJ6U1MVXOaj8PK2l7WJ3RER9xtqwdhxkhw/edit?usp=sharing"",""กาญจนบุรี!M479"")"),0.0)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IFERROR(__xludf.DUMMYFUNCTION("IMPORTRANGE(""https://docs.google.com/spreadsheets/d/1SX6NBoVAgQJ6U1MVXOaj8PK2l7WJ3RER9xtqwdhxkhw/edit?usp=sharing"",""กาญจนบุรี!M480"")"),0.0)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IFERROR(__xludf.DUMMYFUNCTION("IMPORTRANGE(""https://docs.google.com/spreadsheets/d/1SX6NBoVAgQJ6U1MVXOaj8PK2l7WJ3RER9xtqwdhxkhw/edit?usp=sharing"",""กาญจนบุรี!M481"")"),0.0)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IFERROR(__xludf.DUMMYFUNCTION("IMPORTRANGE(""https://docs.google.com/spreadsheets/d/1SX6NBoVAgQJ6U1MVXOaj8PK2l7WJ3RER9xtqwdhxkhw/edit?usp=sharing"",""กาญจนบุรี!M482"")"),0.0)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IFERROR(__xludf.DUMMYFUNCTION("IMPORTRANGE(""https://docs.google.com/spreadsheets/d/1SX6NBoVAgQJ6U1MVXOaj8PK2l7WJ3RER9xtqwdhxkhw/edit?usp=sharing"",""กาญจนบุรี!M483"")"),0.0)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IFERROR(__xludf.DUMMYFUNCTION("IMPORTRANGE(""https://docs.google.com/spreadsheets/d/1SX6NBoVAgQJ6U1MVXOaj8PK2l7WJ3RER9xtqwdhxkhw/edit?usp=sharing"",""กาญจนบุรี!I484"")"),0.0)</f>
        <v>0</v>
      </c>
      <c r="J589" s="222">
        <f>IFERROR(__xludf.DUMMYFUNCTION("IMPORTRANGE(""https://docs.google.com/spreadsheets/d/1SX6NBoVAgQJ6U1MVXOaj8PK2l7WJ3RER9xtqwdhxkhw/edit?usp=sharing"",""กาญจนบุรี!J484"")"),0.0)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IFERROR(__xludf.DUMMYFUNCTION("IMPORTRANGE(""https://docs.google.com/spreadsheets/d/1SX6NBoVAgQJ6U1MVXOaj8PK2l7WJ3RER9xtqwdhxkhw/edit?usp=sharing"",""กาญจนบุรี!I485"")"),0.0)</f>
        <v>0</v>
      </c>
      <c r="J590" s="222">
        <f>IFERROR(__xludf.DUMMYFUNCTION("IMPORTRANGE(""https://docs.google.com/spreadsheets/d/1SX6NBoVAgQJ6U1MVXOaj8PK2l7WJ3RER9xtqwdhxkhw/edit?usp=sharing"",""กาญจนบุรี!J485"")"),0.0)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IFERROR(__xludf.DUMMYFUNCTION("IMPORTRANGE(""https://docs.google.com/spreadsheets/d/1SX6NBoVAgQJ6U1MVXOaj8PK2l7WJ3RER9xtqwdhxkhw/edit?usp=sharing"",""กาญจนบุรี!I486"")"),0.0)</f>
        <v>0</v>
      </c>
      <c r="J591" s="222">
        <f>IFERROR(__xludf.DUMMYFUNCTION("IMPORTRANGE(""https://docs.google.com/spreadsheets/d/1SX6NBoVAgQJ6U1MVXOaj8PK2l7WJ3RER9xtqwdhxkhw/edit?usp=sharing"",""กาญจนบุรี!J486"")"),0.0)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IFERROR(__xludf.DUMMYFUNCTION("IMPORTRANGE(""https://docs.google.com/spreadsheets/d/1SX6NBoVAgQJ6U1MVXOaj8PK2l7WJ3RER9xtqwdhxkhw/edit?usp=sharing"",""กาญจนบุรี!I487"")"),0.0)</f>
        <v>0</v>
      </c>
      <c r="J592" s="222">
        <f>IFERROR(__xludf.DUMMYFUNCTION("IMPORTRANGE(""https://docs.google.com/spreadsheets/d/1SX6NBoVAgQJ6U1MVXOaj8PK2l7WJ3RER9xtqwdhxkhw/edit?usp=sharing"",""กาญจนบุรี!J487"")"),0.0)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IFERROR(__xludf.DUMMYFUNCTION("IMPORTRANGE(""https://docs.google.com/spreadsheets/d/1SX6NBoVAgQJ6U1MVXOaj8PK2l7WJ3RER9xtqwdhxkhw/edit?usp=sharing"",""กาญจนบุรี!I488"")"),0.0)</f>
        <v>0</v>
      </c>
      <c r="J593" s="222">
        <f>IFERROR(__xludf.DUMMYFUNCTION("IMPORTRANGE(""https://docs.google.com/spreadsheets/d/1SX6NBoVAgQJ6U1MVXOaj8PK2l7WJ3RER9xtqwdhxkhw/edit?usp=sharing"",""กาญจนบุรี!J488"")"),0.0)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IFERROR(__xludf.DUMMYFUNCTION("IMPORTRANGE(""https://docs.google.com/spreadsheets/d/1SX6NBoVAgQJ6U1MVXOaj8PK2l7WJ3RER9xtqwdhxkhw/edit?usp=sharing"",""กาญจนบุรี!I489"")"),0.0)</f>
        <v>0</v>
      </c>
      <c r="J594" s="222">
        <f>IFERROR(__xludf.DUMMYFUNCTION("IMPORTRANGE(""https://docs.google.com/spreadsheets/d/1SX6NBoVAgQJ6U1MVXOaj8PK2l7WJ3RER9xtqwdhxkhw/edit?usp=sharing"",""กาญจนบุรี!J489"")"),0.0)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IFERROR(__xludf.DUMMYFUNCTION("IMPORTRANGE(""https://docs.google.com/spreadsheets/d/1SX6NBoVAgQJ6U1MVXOaj8PK2l7WJ3RER9xtqwdhxkhw/edit?usp=sharing"",""กาญจนบุรี!I490"")"),0.0)</f>
        <v>0</v>
      </c>
      <c r="J595" s="222">
        <f>IFERROR(__xludf.DUMMYFUNCTION("IMPORTRANGE(""https://docs.google.com/spreadsheets/d/1SX6NBoVAgQJ6U1MVXOaj8PK2l7WJ3RER9xtqwdhxkhw/edit?usp=sharing"",""กาญจนบุรี!J490"")"),0.0)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IFERROR(__xludf.DUMMYFUNCTION("IMPORTRANGE(""https://docs.google.com/spreadsheets/d/1SX6NBoVAgQJ6U1MVXOaj8PK2l7WJ3RER9xtqwdhxkhw/edit?usp=sharing"",""กาญจนบุรี!I491"")"),0.0)</f>
        <v>0</v>
      </c>
      <c r="J596" s="275">
        <f>IFERROR(__xludf.DUMMYFUNCTION("IMPORTRANGE(""https://docs.google.com/spreadsheets/d/1SX6NBoVAgQJ6U1MVXOaj8PK2l7WJ3RER9xtqwdhxkhw/edit?usp=sharing"",""กาญจนบุรี!J491"")"),0.0)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IFERROR(__xludf.DUMMYFUNCTION("IMPORTRANGE(""https://docs.google.com/spreadsheets/d/1SX6NBoVAgQJ6U1MVXOaj8PK2l7WJ3RER9xtqwdhxkhw/edit?usp=sharing"",""กาญจนบุรี!I492"")"),300.0)</f>
        <v>300</v>
      </c>
      <c r="J597" s="520">
        <f>IFERROR(__xludf.DUMMYFUNCTION("IMPORTRANGE(""https://docs.google.com/spreadsheets/d/1SX6NBoVAgQJ6U1MVXOaj8PK2l7WJ3RER9xtqwdhxkhw/edit?usp=sharing"",""กาญจนบุรี!J492"")"),0.0)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IFERROR(__xludf.DUMMYFUNCTION("IMPORTRANGE(""https://docs.google.com/spreadsheets/d/1SX6NBoVAgQJ6U1MVXOaj8PK2l7WJ3RER9xtqwdhxkhw/edit?usp=sharing"",""กาญจนบุรี!L492"")"),18300.0)</f>
        <v>18300</v>
      </c>
      <c r="M597" s="445"/>
      <c r="N597" s="445">
        <f>IFERROR(__xludf.DUMMYFUNCTION("IMPORTRANGE(""https://docs.google.com/spreadsheets/d/1SX6NBoVAgQJ6U1MVXOaj8PK2l7WJ3RER9xtqwdhxkhw/edit?usp=sharing"",""กาญจนบุรี!M492"")"),0.0)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IFERROR(__xludf.DUMMYFUNCTION("IMPORTRANGE(""https://docs.google.com/spreadsheets/d/1SX6NBoVAgQJ6U1MVXOaj8PK2l7WJ3RER9xtqwdhxkhw/edit?usp=sharing"",""กาญจนบุรี!L493"")"),0.0)</f>
        <v>0</v>
      </c>
      <c r="M598" s="197"/>
      <c r="N598" s="203">
        <f>IFERROR(__xludf.DUMMYFUNCTION("IMPORTRANGE(""https://docs.google.com/spreadsheets/d/1SX6NBoVAgQJ6U1MVXOaj8PK2l7WJ3RER9xtqwdhxkhw/edit?usp=sharing"",""กาญจนบุรี!M493"")"),0.0)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IFERROR(__xludf.DUMMYFUNCTION("IMPORTRANGE(""https://docs.google.com/spreadsheets/d/1SX6NBoVAgQJ6U1MVXOaj8PK2l7WJ3RER9xtqwdhxkhw/edit?usp=sharing"",""กาญจนบุรี!L494"")"),18300.0)</f>
        <v>18300</v>
      </c>
      <c r="M599" s="198"/>
      <c r="N599" s="203">
        <f>IFERROR(__xludf.DUMMYFUNCTION("IMPORTRANGE(""https://docs.google.com/spreadsheets/d/1SX6NBoVAgQJ6U1MVXOaj8PK2l7WJ3RER9xtqwdhxkhw/edit?usp=sharing"",""กาญจนบุรี!M494"")"),0.0)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IFERROR(__xludf.DUMMYFUNCTION("IMPORTRANGE(""https://docs.google.com/spreadsheets/d/1SX6NBoVAgQJ6U1MVXOaj8PK2l7WJ3RER9xtqwdhxkhw/edit?usp=sharing"",""กาญจนบุรี!L495"")"),0.0)</f>
        <v>0</v>
      </c>
      <c r="M600" s="203"/>
      <c r="N600" s="203">
        <f>IFERROR(__xludf.DUMMYFUNCTION("IMPORTRANGE(""https://docs.google.com/spreadsheets/d/1SX6NBoVAgQJ6U1MVXOaj8PK2l7WJ3RER9xtqwdhxkhw/edit?usp=sharing"",""กาญจนบุรี!M495"")"),0.0)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IFERROR(__xludf.DUMMYFUNCTION("IMPORTRANGE(""https://docs.google.com/spreadsheets/d/1SX6NBoVAgQJ6U1MVXOaj8PK2l7WJ3RER9xtqwdhxkhw/edit?usp=sharing"",""กาญจนบุรี!L496"")"),18300.0)</f>
        <v>18300</v>
      </c>
      <c r="M601" s="203"/>
      <c r="N601" s="203">
        <f>IFERROR(__xludf.DUMMYFUNCTION("IMPORTRANGE(""https://docs.google.com/spreadsheets/d/1SX6NBoVAgQJ6U1MVXOaj8PK2l7WJ3RER9xtqwdhxkhw/edit?usp=sharing"",""กาญจนบุรี!M496"")"),0.0)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IFERROR(__xludf.DUMMYFUNCTION("IMPORTRANGE(""https://docs.google.com/spreadsheets/d/1SX6NBoVAgQJ6U1MVXOaj8PK2l7WJ3RER9xtqwdhxkhw/edit?usp=sharing"",""กาญจนบุรี!M497"")"),0.0)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IFERROR(__xludf.DUMMYFUNCTION("IMPORTRANGE(""https://docs.google.com/spreadsheets/d/1SX6NBoVAgQJ6U1MVXOaj8PK2l7WJ3RER9xtqwdhxkhw/edit?usp=sharing"",""กาญจนบุรี!M498"")"),0.0)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IFERROR(__xludf.DUMMYFUNCTION("IMPORTRANGE(""https://docs.google.com/spreadsheets/d/1SX6NBoVAgQJ6U1MVXOaj8PK2l7WJ3RER9xtqwdhxkhw/edit?usp=sharing"",""กาญจนบุรี!M499"")"),0.0)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IFERROR(__xludf.DUMMYFUNCTION("IMPORTRANGE(""https://docs.google.com/spreadsheets/d/1SX6NBoVAgQJ6U1MVXOaj8PK2l7WJ3RER9xtqwdhxkhw/edit?usp=sharing"",""กาญจนบุรี!M500"")"),0.0)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IFERROR(__xludf.DUMMYFUNCTION("IMPORTRANGE(""https://docs.google.com/spreadsheets/d/1SX6NBoVAgQJ6U1MVXOaj8PK2l7WJ3RER9xtqwdhxkhw/edit?usp=sharing"",""กาญจนบุรี!J502"")"),0.0)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IFERROR(__xludf.DUMMYFUNCTION("IMPORTRANGE(""https://docs.google.com/spreadsheets/d/1SX6NBoVAgQJ6U1MVXOaj8PK2l7WJ3RER9xtqwdhxkhw/edit?usp=sharing"",""กาญจนบุรี!J503"")"),1.0)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IFERROR(__xludf.DUMMYFUNCTION("IMPORTRANGE(""https://docs.google.com/spreadsheets/d/1SX6NBoVAgQJ6U1MVXOaj8PK2l7WJ3RER9xtqwdhxkhw/edit?usp=sharing"",""กาญจนบุรี!J166"")"),0.0)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IFERROR(__xludf.DUMMYFUNCTION("IMPORTRANGE(""https://docs.google.com/spreadsheets/d/1SX6NBoVAgQJ6U1MVXOaj8PK2l7WJ3RER9xtqwdhxkhw/edit?usp=sharing"",""กาญจนบุรี!J166"")"),0.0)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IFERROR(__xludf.DUMMYFUNCTION("IMPORTRANGE(""https://docs.google.com/spreadsheets/d/1SX6NBoVAgQJ6U1MVXOaj8PK2l7WJ3RER9xtqwdhxkhw/edit?usp=sharing"",""กาญจนบุรี!I506"")"),300.0)</f>
        <v>300</v>
      </c>
      <c r="J611" s="195">
        <f>IFERROR(__xludf.DUMMYFUNCTION("IMPORTRANGE(""https://docs.google.com/spreadsheets/d/1SX6NBoVAgQJ6U1MVXOaj8PK2l7WJ3RER9xtqwdhxkhw/edit?usp=sharing"",""กาญจนบุรี!J506"")"),0.0)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IFERROR(__xludf.DUMMYFUNCTION("IMPORTRANGE(""https://docs.google.com/spreadsheets/d/1SX6NBoVAgQJ6U1MVXOaj8PK2l7WJ3RER9xtqwdhxkhw/edit?usp=sharing"",""กาญจนบุรี!I507"")"),0.0)</f>
        <v>0</v>
      </c>
      <c r="J612" s="232">
        <f>IFERROR(__xludf.DUMMYFUNCTION("IMPORTRANGE(""https://docs.google.com/spreadsheets/d/1SX6NBoVAgQJ6U1MVXOaj8PK2l7WJ3RER9xtqwdhxkhw/edit?usp=sharing"",""กาญจนบุรี!J507"")"),0.0)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IFERROR(__xludf.DUMMYFUNCTION("IMPORTRANGE(""https://docs.google.com/spreadsheets/d/1SX6NBoVAgQJ6U1MVXOaj8PK2l7WJ3RER9xtqwdhxkhw/edit?usp=sharing"",""กาญจนบุรี!I508"")"),0.0)</f>
        <v>0</v>
      </c>
      <c r="J613" s="232">
        <f>IFERROR(__xludf.DUMMYFUNCTION("IMPORTRANGE(""https://docs.google.com/spreadsheets/d/1SX6NBoVAgQJ6U1MVXOaj8PK2l7WJ3RER9xtqwdhxkhw/edit?usp=sharing"",""กาญจนบุรี!J508"")"),0.0)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IFERROR(__xludf.DUMMYFUNCTION("IMPORTRANGE(""https://docs.google.com/spreadsheets/d/1SX6NBoVAgQJ6U1MVXOaj8PK2l7WJ3RER9xtqwdhxkhw/edit?usp=sharing"",""กาญจนบุรี!I509"")"),0.0)</f>
        <v>0</v>
      </c>
      <c r="J614" s="232">
        <f>IFERROR(__xludf.DUMMYFUNCTION("IMPORTRANGE(""https://docs.google.com/spreadsheets/d/1SX6NBoVAgQJ6U1MVXOaj8PK2l7WJ3RER9xtqwdhxkhw/edit?usp=sharing"",""กาญจนบุรี!J509"")"),0.0)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IFERROR(__xludf.DUMMYFUNCTION("IMPORTRANGE(""https://docs.google.com/spreadsheets/d/1SX6NBoVAgQJ6U1MVXOaj8PK2l7WJ3RER9xtqwdhxkhw/edit?usp=sharing"",""กาญจนบุรี!I510"")"),0.0)</f>
        <v>0</v>
      </c>
      <c r="J615" s="232">
        <f>IFERROR(__xludf.DUMMYFUNCTION("IMPORTRANGE(""https://docs.google.com/spreadsheets/d/1SX6NBoVAgQJ6U1MVXOaj8PK2l7WJ3RER9xtqwdhxkhw/edit?usp=sharing"",""กาญจนบุรี!J510"")"),0.0)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IFERROR(__xludf.DUMMYFUNCTION("IMPORTRANGE(""https://docs.google.com/spreadsheets/d/1SX6NBoVAgQJ6U1MVXOaj8PK2l7WJ3RER9xtqwdhxkhw/edit?usp=sharing"",""กาญจนบุรี!I511"")"),0.0)</f>
        <v>0</v>
      </c>
      <c r="J616" s="232">
        <f>IFERROR(__xludf.DUMMYFUNCTION("IMPORTRANGE(""https://docs.google.com/spreadsheets/d/1SX6NBoVAgQJ6U1MVXOaj8PK2l7WJ3RER9xtqwdhxkhw/edit?usp=sharing"",""กาญจนบุรี!J511"")"),0.0)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IFERROR(__xludf.DUMMYFUNCTION("IMPORTRANGE(""https://docs.google.com/spreadsheets/d/1SX6NBoVAgQJ6U1MVXOaj8PK2l7WJ3RER9xtqwdhxkhw/edit?usp=sharing"",""กาญจนบุรี!I512"")"),0.0)</f>
        <v>0</v>
      </c>
      <c r="J617" s="222">
        <f>IFERROR(__xludf.DUMMYFUNCTION("IMPORTRANGE(""https://docs.google.com/spreadsheets/d/1SX6NBoVAgQJ6U1MVXOaj8PK2l7WJ3RER9xtqwdhxkhw/edit?usp=sharing"",""กาญจนบุรี!J512"")"),0.0)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IFERROR(__xludf.DUMMYFUNCTION("IMPORTRANGE(""https://docs.google.com/spreadsheets/d/1SX6NBoVAgQJ6U1MVXOaj8PK2l7WJ3RER9xtqwdhxkhw/edit?usp=sharing"",""กาญจนบุรี!I513"")"),0.0)</f>
        <v>0</v>
      </c>
      <c r="J618" s="223">
        <f>IFERROR(__xludf.DUMMYFUNCTION("IMPORTRANGE(""https://docs.google.com/spreadsheets/d/1SX6NBoVAgQJ6U1MVXOaj8PK2l7WJ3RER9xtqwdhxkhw/edit?usp=sharing"",""กาญจนบุรี!J513"")"),0.0)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IFERROR(__xludf.DUMMYFUNCTION("IMPORTRANGE(""https://docs.google.com/spreadsheets/d/1SX6NBoVAgQJ6U1MVXOaj8PK2l7WJ3RER9xtqwdhxkhw/edit?usp=sharing"",""กาญจนบุรี!I514"")"),0.0)</f>
        <v>0</v>
      </c>
      <c r="J619" s="223">
        <f>IFERROR(__xludf.DUMMYFUNCTION("IMPORTRANGE(""https://docs.google.com/spreadsheets/d/1SX6NBoVAgQJ6U1MVXOaj8PK2l7WJ3RER9xtqwdhxkhw/edit?usp=sharing"",""กาญจนบุรี!J514"")"),0.0)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IFERROR(__xludf.DUMMYFUNCTION("IMPORTRANGE(""https://docs.google.com/spreadsheets/d/1SX6NBoVAgQJ6U1MVXOaj8PK2l7WJ3RER9xtqwdhxkhw/edit?usp=sharing"",""กาญจนบุรี!I515"")"),0.0)</f>
        <v>0</v>
      </c>
      <c r="J620" s="237">
        <f>IFERROR(__xludf.DUMMYFUNCTION("IMPORTRANGE(""https://docs.google.com/spreadsheets/d/1SX6NBoVAgQJ6U1MVXOaj8PK2l7WJ3RER9xtqwdhxkhw/edit?usp=sharing"",""กาญจนบุรี!J515"")"),0.0)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IFERROR(__xludf.DUMMYFUNCTION("IMPORTRANGE(""https://docs.google.com/spreadsheets/d/1SX6NBoVAgQJ6U1MVXOaj8PK2l7WJ3RER9xtqwdhxkhw/edit?usp=sharing"",""กาญจนบุรี!I516"")"),0.0)</f>
        <v>0</v>
      </c>
      <c r="J621" s="237">
        <f>IFERROR(__xludf.DUMMYFUNCTION("IMPORTRANGE(""https://docs.google.com/spreadsheets/d/1SX6NBoVAgQJ6U1MVXOaj8PK2l7WJ3RER9xtqwdhxkhw/edit?usp=sharing"",""กาญจนบุรี!J516"")"),0.0)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IFERROR(__xludf.DUMMYFUNCTION("IMPORTRANGE(""https://docs.google.com/spreadsheets/d/1SX6NBoVAgQJ6U1MVXOaj8PK2l7WJ3RER9xtqwdhxkhw/edit?usp=sharing"",""กาญจนบุรี!I517"")"),0.0)</f>
        <v>0</v>
      </c>
      <c r="J622" s="223">
        <f>IFERROR(__xludf.DUMMYFUNCTION("IMPORTRANGE(""https://docs.google.com/spreadsheets/d/1SX6NBoVAgQJ6U1MVXOaj8PK2l7WJ3RER9xtqwdhxkhw/edit?usp=sharing"",""กาญจนบุรี!J517"")"),0.0)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IFERROR(__xludf.DUMMYFUNCTION("IMPORTRANGE(""https://docs.google.com/spreadsheets/d/1SX6NBoVAgQJ6U1MVXOaj8PK2l7WJ3RER9xtqwdhxkhw/edit?usp=sharing"",""กาญจนบุรี!I518"")"),0.0)</f>
        <v>0</v>
      </c>
      <c r="J623" s="223">
        <f>IFERROR(__xludf.DUMMYFUNCTION("IMPORTRANGE(""https://docs.google.com/spreadsheets/d/1SX6NBoVAgQJ6U1MVXOaj8PK2l7WJ3RER9xtqwdhxkhw/edit?usp=sharing"",""กาญจนบุรี!J518"")"),0.0)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IFERROR(__xludf.DUMMYFUNCTION("IMPORTRANGE(""https://docs.google.com/spreadsheets/d/1SX6NBoVAgQJ6U1MVXOaj8PK2l7WJ3RER9xtqwdhxkhw/edit?usp=sharing"",""กาญจนบุรี!I519"")"),0.0)</f>
        <v>0</v>
      </c>
      <c r="J624" s="222">
        <f>IFERROR(__xludf.DUMMYFUNCTION("IMPORTRANGE(""https://docs.google.com/spreadsheets/d/1SX6NBoVAgQJ6U1MVXOaj8PK2l7WJ3RER9xtqwdhxkhw/edit?usp=sharing"",""กาญจนบุรี!J519"")"),0.0)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IFERROR(__xludf.DUMMYFUNCTION("IMPORTRANGE(""https://docs.google.com/spreadsheets/d/1SX6NBoVAgQJ6U1MVXOaj8PK2l7WJ3RER9xtqwdhxkhw/edit?usp=sharing"",""กาญจนบุรี!I520"")"),0.0)</f>
        <v>0</v>
      </c>
      <c r="J625" s="223">
        <f>IFERROR(__xludf.DUMMYFUNCTION("IMPORTRANGE(""https://docs.google.com/spreadsheets/d/1SX6NBoVAgQJ6U1MVXOaj8PK2l7WJ3RER9xtqwdhxkhw/edit?usp=sharing"",""กาญจนบุรี!J520"")"),0.0)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IFERROR(__xludf.DUMMYFUNCTION("IMPORTRANGE(""https://docs.google.com/spreadsheets/d/1SX6NBoVAgQJ6U1MVXOaj8PK2l7WJ3RER9xtqwdhxkhw/edit?usp=sharing"",""กาญจนบุรี!I521"")"),0.0)</f>
        <v>0</v>
      </c>
      <c r="J626" s="223">
        <f>IFERROR(__xludf.DUMMYFUNCTION("IMPORTRANGE(""https://docs.google.com/spreadsheets/d/1SX6NBoVAgQJ6U1MVXOaj8PK2l7WJ3RER9xtqwdhxkhw/edit?usp=sharing"",""กาญจนบุรี!J521"")"),0.0)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IFERROR(__xludf.DUMMYFUNCTION("IMPORTRANGE(""https://docs.google.com/spreadsheets/d/1SX6NBoVAgQJ6U1MVXOaj8PK2l7WJ3RER9xtqwdhxkhw/edit?usp=sharing"",""กาญจนบุรี!I523"")"),1500000.0)</f>
        <v>1500000</v>
      </c>
      <c r="J628" s="374">
        <f>IFERROR(__xludf.DUMMYFUNCTION("IMPORTRANGE(""https://docs.google.com/spreadsheets/d/1SX6NBoVAgQJ6U1MVXOaj8PK2l7WJ3RER9xtqwdhxkhw/edit?usp=sharing"",""กาญจนบุรี!J523"")"),232533.99)</f>
        <v>232533.99</v>
      </c>
      <c r="K628" s="375">
        <f t="shared" ref="K628:K635" si="130">IF(I628&gt;0,J628*100/I628,0)</f>
        <v>15.502266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IFERROR(__xludf.DUMMYFUNCTION("IMPORTRANGE(""https://docs.google.com/spreadsheets/d/1SX6NBoVAgQJ6U1MVXOaj8PK2l7WJ3RER9xtqwdhxkhw/edit?usp=sharing"",""กาญจนบุรี!I524"")"),50.0)</f>
        <v>50</v>
      </c>
      <c r="J629" s="374">
        <f>IFERROR(__xludf.DUMMYFUNCTION("IMPORTRANGE(""https://docs.google.com/spreadsheets/d/1SX6NBoVAgQJ6U1MVXOaj8PK2l7WJ3RER9xtqwdhxkhw/edit?usp=sharing"",""กาญจนบุรี!J524"")"),11.0)</f>
        <v>11</v>
      </c>
      <c r="K629" s="375">
        <f t="shared" si="130"/>
        <v>22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IFERROR(__xludf.DUMMYFUNCTION("IMPORTRANGE(""https://docs.google.com/spreadsheets/d/1SX6NBoVAgQJ6U1MVXOaj8PK2l7WJ3RER9xtqwdhxkhw/edit?usp=sharing"",""กาญจนบุรี!I525"")"),2.090019037E7)</f>
        <v>20900190.37</v>
      </c>
      <c r="J630" s="374">
        <f>IFERROR(__xludf.DUMMYFUNCTION("IMPORTRANGE(""https://docs.google.com/spreadsheets/d/1SX6NBoVAgQJ6U1MVXOaj8PK2l7WJ3RER9xtqwdhxkhw/edit?usp=sharing"",""กาญจนบุรี!J525"")"),358133.41)</f>
        <v>358133.41</v>
      </c>
      <c r="K630" s="375">
        <f t="shared" si="130"/>
        <v>1.713541378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IFERROR(__xludf.DUMMYFUNCTION("IMPORTRANGE(""https://docs.google.com/spreadsheets/d/1SX6NBoVAgQJ6U1MVXOaj8PK2l7WJ3RER9xtqwdhxkhw/edit?usp=sharing"",""กาญจนบุรี!I526"")"),734.0)</f>
        <v>734</v>
      </c>
      <c r="J631" s="374">
        <f>IFERROR(__xludf.DUMMYFUNCTION("IMPORTRANGE(""https://docs.google.com/spreadsheets/d/1SX6NBoVAgQJ6U1MVXOaj8PK2l7WJ3RER9xtqwdhxkhw/edit?usp=sharing"",""กาญจนบุรี!J526"")"),42.0)</f>
        <v>42</v>
      </c>
      <c r="K631" s="375">
        <f t="shared" si="130"/>
        <v>5.722070845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IFERROR(__xludf.DUMMYFUNCTION("IMPORTRANGE(""https://docs.google.com/spreadsheets/d/1SX6NBoVAgQJ6U1MVXOaj8PK2l7WJ3RER9xtqwdhxkhw/edit?usp=sharing"",""กาญจนบุรี!I527"")"),608345.67)</f>
        <v>608345.67</v>
      </c>
      <c r="J632" s="374">
        <f>IFERROR(__xludf.DUMMYFUNCTION("IMPORTRANGE(""https://docs.google.com/spreadsheets/d/1SX6NBoVAgQJ6U1MVXOaj8PK2l7WJ3RER9xtqwdhxkhw/edit?usp=sharing"",""กาญจนบุรี!J527"")"),18230.38)</f>
        <v>18230.38</v>
      </c>
      <c r="K632" s="375">
        <f t="shared" si="130"/>
        <v>2.996714023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IFERROR(__xludf.DUMMYFUNCTION("IMPORTRANGE(""https://docs.google.com/spreadsheets/d/1SX6NBoVAgQJ6U1MVXOaj8PK2l7WJ3RER9xtqwdhxkhw/edit?usp=sharing"",""กาญจนบุรี!I528"")"),179.0)</f>
        <v>179</v>
      </c>
      <c r="J633" s="374">
        <f>IFERROR(__xludf.DUMMYFUNCTION("IMPORTRANGE(""https://docs.google.com/spreadsheets/d/1SX6NBoVAgQJ6U1MVXOaj8PK2l7WJ3RER9xtqwdhxkhw/edit?usp=sharing"",""กาญจนบุรี!J528"")"),6.0)</f>
        <v>6</v>
      </c>
      <c r="K633" s="375">
        <f t="shared" si="130"/>
        <v>3.351955307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IFERROR(__xludf.DUMMYFUNCTION("IMPORTRANGE(""https://docs.google.com/spreadsheets/d/1SX6NBoVAgQJ6U1MVXOaj8PK2l7WJ3RER9xtqwdhxkhw/edit?usp=sharing"",""กาญจนบุรี!I529"")"),2100000.0)</f>
        <v>2100000</v>
      </c>
      <c r="J634" s="374">
        <f>IFERROR(__xludf.DUMMYFUNCTION("IMPORTRANGE(""https://docs.google.com/spreadsheets/d/1SX6NBoVAgQJ6U1MVXOaj8PK2l7WJ3RER9xtqwdhxkhw/edit?usp=sharing"",""กาญจนบุรี!J529"")"),0.0)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IFERROR(__xludf.DUMMYFUNCTION("IMPORTRANGE(""https://docs.google.com/spreadsheets/d/1SX6NBoVAgQJ6U1MVXOaj8PK2l7WJ3RER9xtqwdhxkhw/edit?usp=sharing"",""กาญจนบุรี!I530"")"),70.0)</f>
        <v>70</v>
      </c>
      <c r="J635" s="544">
        <f>IFERROR(__xludf.DUMMYFUNCTION("IMPORTRANGE(""https://docs.google.com/spreadsheets/d/1SX6NBoVAgQJ6U1MVXOaj8PK2l7WJ3RER9xtqwdhxkhw/edit?usp=sharing"",""กาญจนบุรี!J530"")"),0.0)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275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2236095</v>
      </c>
      <c r="M8" s="41">
        <f t="shared" si="1"/>
        <v>907035</v>
      </c>
      <c r="N8" s="41">
        <f t="shared" si="1"/>
        <v>868518.33</v>
      </c>
      <c r="O8" s="40">
        <f t="shared" ref="O8:O16" si="3">IF(L8&gt;0,N8*100/L8,0)</f>
        <v>38.84085113</v>
      </c>
      <c r="P8" s="40">
        <f t="shared" ref="P8:P16" si="4">IF(M8&gt;0,N8*100/M8,0)</f>
        <v>95.75356298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2236095</v>
      </c>
      <c r="M10" s="48">
        <f t="shared" si="5"/>
        <v>907035</v>
      </c>
      <c r="N10" s="48">
        <f t="shared" si="5"/>
        <v>868518.33</v>
      </c>
      <c r="O10" s="47">
        <f t="shared" si="3"/>
        <v>38.84085113</v>
      </c>
      <c r="P10" s="47">
        <f t="shared" si="4"/>
        <v>95.75356298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2089095</v>
      </c>
      <c r="M12" s="58">
        <f t="shared" si="7"/>
        <v>907035</v>
      </c>
      <c r="N12" s="58">
        <f t="shared" si="7"/>
        <v>733518.33</v>
      </c>
      <c r="O12" s="58">
        <f t="shared" si="3"/>
        <v>35.11177472</v>
      </c>
      <c r="P12" s="58">
        <f t="shared" si="4"/>
        <v>80.86990359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1677900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411195</v>
      </c>
      <c r="M14" s="58">
        <f t="shared" si="9"/>
        <v>0</v>
      </c>
      <c r="N14" s="58">
        <f t="shared" si="9"/>
        <v>57097.33</v>
      </c>
      <c r="O14" s="61">
        <f t="shared" si="3"/>
        <v>13.8857063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135000</v>
      </c>
      <c r="O16" s="70">
        <f t="shared" si="3"/>
        <v>91.83673469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1916865</v>
      </c>
      <c r="M18" s="41">
        <f t="shared" si="12"/>
        <v>907035</v>
      </c>
      <c r="N18" s="41">
        <f t="shared" si="12"/>
        <v>811421</v>
      </c>
      <c r="O18" s="40">
        <f t="shared" ref="O18:O20" si="14">IF(L18&gt;0,N18*100/L18,0)</f>
        <v>42.3306284</v>
      </c>
      <c r="P18" s="40">
        <f t="shared" ref="P18:P26" si="15">IF(M18&gt;0,N18*100/M18,0)</f>
        <v>89.45862067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1916865</v>
      </c>
      <c r="M20" s="48">
        <f t="shared" si="16"/>
        <v>907035</v>
      </c>
      <c r="N20" s="48">
        <f t="shared" si="16"/>
        <v>811421</v>
      </c>
      <c r="O20" s="47">
        <f t="shared" si="14"/>
        <v>42.3306284</v>
      </c>
      <c r="P20" s="47">
        <f t="shared" si="15"/>
        <v>89.45862067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1769865</v>
      </c>
      <c r="M22" s="62">
        <f t="shared" si="18"/>
        <v>907035</v>
      </c>
      <c r="N22" s="61">
        <f t="shared" si="18"/>
        <v>676421</v>
      </c>
      <c r="O22" s="61">
        <f t="shared" si="19"/>
        <v>38.2187907</v>
      </c>
      <c r="P22" s="61">
        <f t="shared" si="15"/>
        <v>74.57496127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1677900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91965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135000</v>
      </c>
      <c r="O26" s="70">
        <f t="shared" si="19"/>
        <v>91.83673469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319230</v>
      </c>
      <c r="M28" s="41">
        <f t="shared" si="24"/>
        <v>0</v>
      </c>
      <c r="N28" s="41">
        <f t="shared" si="24"/>
        <v>57097.33</v>
      </c>
      <c r="O28" s="40">
        <f t="shared" ref="O28:O30" si="26">IF(L28&gt;0,N28*100/L28,0)</f>
        <v>17.8859537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319230</v>
      </c>
      <c r="M30" s="48">
        <f t="shared" si="28"/>
        <v>0</v>
      </c>
      <c r="N30" s="48">
        <f t="shared" si="28"/>
        <v>57097.33</v>
      </c>
      <c r="O30" s="47">
        <f t="shared" si="26"/>
        <v>17.8859537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319230</v>
      </c>
      <c r="M32" s="61">
        <f t="shared" si="30"/>
        <v>0</v>
      </c>
      <c r="N32" s="61">
        <f t="shared" si="30"/>
        <v>57097.33</v>
      </c>
      <c r="O32" s="61">
        <f t="shared" si="31"/>
        <v>17.8859537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319230</v>
      </c>
      <c r="M34" s="61">
        <f t="shared" si="33"/>
        <v>0</v>
      </c>
      <c r="N34" s="61">
        <f t="shared" si="33"/>
        <v>57097.33</v>
      </c>
      <c r="O34" s="61">
        <f t="shared" si="31"/>
        <v>17.8859537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1916865</v>
      </c>
      <c r="M37" s="75">
        <f t="shared" si="34"/>
        <v>907035</v>
      </c>
      <c r="N37" s="75">
        <f t="shared" si="34"/>
        <v>811421</v>
      </c>
      <c r="O37" s="76">
        <f t="shared" si="31"/>
        <v>42.3306284</v>
      </c>
      <c r="P37" s="76">
        <f t="shared" si="27"/>
        <v>89.45862067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884100</v>
      </c>
      <c r="M41" s="102">
        <f t="shared" si="35"/>
        <v>442100</v>
      </c>
      <c r="N41" s="102">
        <f t="shared" si="35"/>
        <v>359154</v>
      </c>
      <c r="O41" s="101">
        <f t="shared" ref="O41:O43" si="37">IF(L41&gt;0,N41*100/L41,0)</f>
        <v>40.6236851</v>
      </c>
      <c r="P41" s="101">
        <f t="shared" ref="P41:P43" si="38">IF(M41&gt;0,N41*100/M41,0)</f>
        <v>81.23818141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884100</v>
      </c>
      <c r="M43" s="102">
        <f t="shared" si="39"/>
        <v>442100</v>
      </c>
      <c r="N43" s="102">
        <f t="shared" si="39"/>
        <v>359154</v>
      </c>
      <c r="O43" s="101">
        <f t="shared" si="37"/>
        <v>40.6236851</v>
      </c>
      <c r="P43" s="101">
        <f t="shared" si="38"/>
        <v>81.23818141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884100</v>
      </c>
      <c r="M45" s="115">
        <f>IFERROR(__xludf.DUMMYFUNCTION("IMPORTRANGE(""https://docs.google.com/spreadsheets/d/1Yj_ptqi66GCucihVvJfMjLAmec39IyEx_6qawtMGysU/edit?usp=sharing"",""สบก!Q77"")"),442100.0)</f>
        <v>442100</v>
      </c>
      <c r="N45" s="115">
        <f>IFERROR(__xludf.DUMMYFUNCTION("IMPORTRANGE(""https://docs.google.com/spreadsheets/d/1Yj_ptqi66GCucihVvJfMjLAmec39IyEx_6qawtMGysU/edit?usp=sharing"",""สบก!R77"")"),359154.0)</f>
        <v>359154</v>
      </c>
      <c r="O45" s="116">
        <f>IF(L45&gt;0,N45*100/L45,0)</f>
        <v>40.6236851</v>
      </c>
      <c r="P45" s="116">
        <f>IF(M45&gt;0,N45*100/M45,0)</f>
        <v>81.23818141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IFERROR(__xludf.DUMMYFUNCTION("IMPORTRANGE(""https://docs.google.com/spreadsheets/d/1Yj_ptqi66GCucihVvJfMjLAmec39IyEx_6qawtMGysU/edit?usp=sharing"",""สบก!M77"")"),884100.0)</f>
        <v>884100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IFERROR(__xludf.DUMMYFUNCTION("IMPORTRANGE(""https://docs.google.com/spreadsheets/d/1Yj_ptqi66GCucihVvJfMjLAmec39IyEx_6qawtMGysU/edit?usp=sharing"",""สบก!N77"")"),0.0)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IFERROR(__xludf.DUMMYFUNCTION("IMPORTRANGE(""https://docs.google.com/spreadsheets/d/1Yj_ptqi66GCucihVvJfMjLAmec39IyEx_6qawtMGysU/edit?usp=sharing"",""สบก!O77"")"),0.0)</f>
        <v>0</v>
      </c>
      <c r="M49" s="125"/>
      <c r="N49" s="115">
        <f>IFERROR(__xludf.DUMMYFUNCTION("IMPORTRANGE(""https://docs.google.com/spreadsheets/d/1Yj_ptqi66GCucihVvJfMjLAmec39IyEx_6qawtMGysU/edit?usp=sharing"",""สบก!S77"")"),0.0)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300000</v>
      </c>
      <c r="M53" s="151">
        <f t="shared" si="40"/>
        <v>159000</v>
      </c>
      <c r="N53" s="151">
        <f t="shared" si="40"/>
        <v>103271</v>
      </c>
      <c r="O53" s="150">
        <f t="shared" ref="O53:O55" si="42">IF(L53&gt;0,N53*100/L53,0)</f>
        <v>34.42366667</v>
      </c>
      <c r="P53" s="150">
        <f t="shared" ref="P53:P55" si="43">IF(M53&gt;0,N53*100/M53,0)</f>
        <v>64.95031447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300000</v>
      </c>
      <c r="M55" s="151">
        <f t="shared" si="44"/>
        <v>159000</v>
      </c>
      <c r="N55" s="151">
        <f t="shared" si="44"/>
        <v>103271</v>
      </c>
      <c r="O55" s="150">
        <f t="shared" si="42"/>
        <v>34.42366667</v>
      </c>
      <c r="P55" s="150">
        <f t="shared" si="43"/>
        <v>64.95031447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300000</v>
      </c>
      <c r="M57" s="115">
        <f>IFERROR(__xludf.DUMMYFUNCTION("IMPORTRANGE(""https://docs.google.com/spreadsheets/d/1Yj_ptqi66GCucihVvJfMjLAmec39IyEx_6qawtMGysU/edit?usp=sharing"",""สบก!Z77"")"),159000.0)</f>
        <v>159000</v>
      </c>
      <c r="N57" s="115">
        <f>IFERROR(__xludf.DUMMYFUNCTION("IMPORTRANGE(""https://docs.google.com/spreadsheets/d/1Yj_ptqi66GCucihVvJfMjLAmec39IyEx_6qawtMGysU/edit?usp=sharing"",""สบก!AA77"")"),103271.0)</f>
        <v>103271</v>
      </c>
      <c r="O57" s="116">
        <f>IF(L57&gt;0,N57*100/L57,0)</f>
        <v>34.42366667</v>
      </c>
      <c r="P57" s="116">
        <f>IF(M57&gt;0,N57*100/M57,0)</f>
        <v>64.95031447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IFERROR(__xludf.DUMMYFUNCTION("IMPORTRANGE(""https://docs.google.com/spreadsheets/d/1Yj_ptqi66GCucihVvJfMjLAmec39IyEx_6qawtMGysU/edit?usp=sharing"",""สบก!V77"")"),300000.0)</f>
        <v>300000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IFERROR(__xludf.DUMMYFUNCTION("IMPORTRANGE(""https://docs.google.com/spreadsheets/d/1Yj_ptqi66GCucihVvJfMjLAmec39IyEx_6qawtMGysU/edit?usp=sharing"",""สบก!W77"")"),0.0)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IFERROR(__xludf.DUMMYFUNCTION("IMPORTRANGE(""https://docs.google.com/spreadsheets/d/1Yj_ptqi66GCucihVvJfMjLAmec39IyEx_6qawtMGysU/edit?usp=sharing"",""สบก!X77"")"),0.0)</f>
        <v>0</v>
      </c>
      <c r="M61" s="125"/>
      <c r="N61" s="115">
        <f>IFERROR(__xludf.DUMMYFUNCTION("IMPORTRANGE(""https://docs.google.com/spreadsheets/d/1Yj_ptqi66GCucihVvJfMjLAmec39IyEx_6qawtMGysU/edit?usp=sharing"",""สบก!AB77"")"),0.0)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IFERROR(__xludf.DUMMYFUNCTION("IMPORTRANGE(""https://docs.google.com/spreadsheets/d/1SX6NBoVAgQJ6U1MVXOaj8PK2l7WJ3RER9xtqwdhxkhw/edit?usp=sharing"",""สิงห์บุรี!I9"")"),0.0)</f>
        <v>0</v>
      </c>
      <c r="J64" s="172">
        <f>IFERROR(__xludf.DUMMYFUNCTION("IMPORTRANGE(""https://docs.google.com/spreadsheets/d/1SX6NBoVAgQJ6U1MVXOaj8PK2l7WJ3RER9xtqwdhxkhw/edit?usp=sharing"",""สิงห์บุรี!J9"")"),0.0)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IFERROR(__xludf.DUMMYFUNCTION("IMPORTRANGE(""https://docs.google.com/spreadsheets/d/1SX6NBoVAgQJ6U1MVXOaj8PK2l7WJ3RER9xtqwdhxkhw/edit?usp=sharing"",""สิงห์บุรี!I10"")"),0.0)</f>
        <v>0</v>
      </c>
      <c r="J65" s="172">
        <f>IFERROR(__xludf.DUMMYFUNCTION("IMPORTRANGE(""https://docs.google.com/spreadsheets/d/1SX6NBoVAgQJ6U1MVXOaj8PK2l7WJ3RER9xtqwdhxkhw/edit?usp=sharing"",""สิงห์บุรี!J10"")"),0.0)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IFERROR(__xludf.DUMMYFUNCTION("IMPORTRANGE(""https://docs.google.com/spreadsheets/d/1Yj_ptqi66GCucihVvJfMjLAmec39IyEx_6qawtMGysU/edit?usp=sharing"",""สบก!AI77"")"),0.0)</f>
        <v>0</v>
      </c>
      <c r="N70" s="202">
        <f>IFERROR(__xludf.DUMMYFUNCTION("IMPORTRANGE(""https://docs.google.com/spreadsheets/d/1Yj_ptqi66GCucihVvJfMjLAmec39IyEx_6qawtMGysU/edit?usp=sharing"",""สบก!AJ77"")"),0.0)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IFERROR(__xludf.DUMMYFUNCTION("IMPORTRANGE(""https://docs.google.com/spreadsheets/d/1Yj_ptqi66GCucihVvJfMjLAmec39IyEx_6qawtMGysU/edit?usp=sharing"",""สบก!AE77"")"),0.0)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IFERROR(__xludf.DUMMYFUNCTION("IMPORTRANGE(""https://docs.google.com/spreadsheets/d/1Yj_ptqi66GCucihVvJfMjLAmec39IyEx_6qawtMGysU/edit?usp=sharing"",""สบก!AF77"")"),0.0)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IFERROR(__xludf.DUMMYFUNCTION("IMPORTRANGE(""https://docs.google.com/spreadsheets/d/1Yj_ptqi66GCucihVvJfMjLAmec39IyEx_6qawtMGysU/edit?usp=sharing"",""สบก!AG77"")"),0.0)</f>
        <v>0</v>
      </c>
      <c r="M74" s="125"/>
      <c r="N74" s="115">
        <f>IFERROR(__xludf.DUMMYFUNCTION("IMPORTRANGE(""https://docs.google.com/spreadsheets/d/1Yj_ptqi66GCucihVvJfMjLAmec39IyEx_6qawtMGysU/edit?usp=sharing"",""สบก!AK77"")"),0.0)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IFERROR(__xludf.DUMMYFUNCTION("IMPORTRANGE(""https://docs.google.com/spreadsheets/d/1SX6NBoVAgQJ6U1MVXOaj8PK2l7WJ3RER9xtqwdhxkhw/edit?usp=sharing"",""สิงห์บุรี!J16"")"),0.0)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IFERROR(__xludf.DUMMYFUNCTION("IMPORTRANGE(""https://docs.google.com/spreadsheets/d/1SX6NBoVAgQJ6U1MVXOaj8PK2l7WJ3RER9xtqwdhxkhw/edit?usp=sharing"",""สิงห์บุรี!J17"")"),0.0)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IFERROR(__xludf.DUMMYFUNCTION("IMPORTRANGE(""https://docs.google.com/spreadsheets/d/1SX6NBoVAgQJ6U1MVXOaj8PK2l7WJ3RER9xtqwdhxkhw/edit?usp=sharing"",""สิงห์บุรี!J18"")"),0.0)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IFERROR(__xludf.DUMMYFUNCTION("IMPORTRANGE(""https://docs.google.com/spreadsheets/d/1SX6NBoVAgQJ6U1MVXOaj8PK2l7WJ3RER9xtqwdhxkhw/edit?usp=sharing"",""สิงห์บุรี!J19"")"),0.0)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IFERROR(__xludf.DUMMYFUNCTION("IMPORTRANGE(""https://docs.google.com/spreadsheets/d/1SX6NBoVAgQJ6U1MVXOaj8PK2l7WJ3RER9xtqwdhxkhw/edit?usp=sharing"",""สิงห์บุรี!I20"")"),0.0)</f>
        <v>0</v>
      </c>
      <c r="J80" s="235">
        <f>IFERROR(__xludf.DUMMYFUNCTION("IMPORTRANGE(""https://docs.google.com/spreadsheets/d/1SX6NBoVAgQJ6U1MVXOaj8PK2l7WJ3RER9xtqwdhxkhw/edit?usp=sharing"",""สิงห์บุรี!J20"")"),0.0)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IFERROR(__xludf.DUMMYFUNCTION("IMPORTRANGE(""https://docs.google.com/spreadsheets/d/1SX6NBoVAgQJ6U1MVXOaj8PK2l7WJ3RER9xtqwdhxkhw/edit?usp=sharing"",""สิงห์บุรี!I21"")"),0.0)</f>
        <v>0</v>
      </c>
      <c r="J81" s="235">
        <f>IFERROR(__xludf.DUMMYFUNCTION("IMPORTRANGE(""https://docs.google.com/spreadsheets/d/1SX6NBoVAgQJ6U1MVXOaj8PK2l7WJ3RER9xtqwdhxkhw/edit?usp=sharing"",""สิงห์บุรี!J21"")"),0.0)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IFERROR(__xludf.DUMMYFUNCTION("IMPORTRANGE(""https://docs.google.com/spreadsheets/d/1SX6NBoVAgQJ6U1MVXOaj8PK2l7WJ3RER9xtqwdhxkhw/edit?usp=sharing"",""สิงห์บุรี!I22"")"),0.0)</f>
        <v>0</v>
      </c>
      <c r="J82" s="238">
        <f>IFERROR(__xludf.DUMMYFUNCTION("IMPORTRANGE(""https://docs.google.com/spreadsheets/d/1SX6NBoVAgQJ6U1MVXOaj8PK2l7WJ3RER9xtqwdhxkhw/edit?usp=sharing"",""สิงห์บุรี!J22"")"),0.0)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IFERROR(__xludf.DUMMYFUNCTION("IMPORTRANGE(""https://docs.google.com/spreadsheets/d/1SX6NBoVAgQJ6U1MVXOaj8PK2l7WJ3RER9xtqwdhxkhw/edit?usp=sharing"",""สิงห์บุรี!I23"")"),0.0)</f>
        <v>0</v>
      </c>
      <c r="J83" s="238">
        <f>IFERROR(__xludf.DUMMYFUNCTION("IMPORTRANGE(""https://docs.google.com/spreadsheets/d/1SX6NBoVAgQJ6U1MVXOaj8PK2l7WJ3RER9xtqwdhxkhw/edit?usp=sharing"",""สิงห์บุรี!J23"")"),0.0)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IFERROR(__xludf.DUMMYFUNCTION("IMPORTRANGE(""https://docs.google.com/spreadsheets/d/1SX6NBoVAgQJ6U1MVXOaj8PK2l7WJ3RER9xtqwdhxkhw/edit?usp=sharing"",""สิงห์บุรี!I24"")"),0.0)</f>
        <v>0</v>
      </c>
      <c r="J84" s="223">
        <f>IFERROR(__xludf.DUMMYFUNCTION("IMPORTRANGE(""https://docs.google.com/spreadsheets/d/1SX6NBoVAgQJ6U1MVXOaj8PK2l7WJ3RER9xtqwdhxkhw/edit?usp=sharing"",""สิงห์บุรี!J24"")"),0.0)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IFERROR(__xludf.DUMMYFUNCTION("IMPORTRANGE(""https://docs.google.com/spreadsheets/d/1SX6NBoVAgQJ6U1MVXOaj8PK2l7WJ3RER9xtqwdhxkhw/edit?usp=sharing"",""สิงห์บุรี!I25"")"),0.0)</f>
        <v>0</v>
      </c>
      <c r="J85" s="223">
        <f>IFERROR(__xludf.DUMMYFUNCTION("IMPORTRANGE(""https://docs.google.com/spreadsheets/d/1SX6NBoVAgQJ6U1MVXOaj8PK2l7WJ3RER9xtqwdhxkhw/edit?usp=sharing"",""สิงห์บุรี!J25"")"),0.0)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IFERROR(__xludf.DUMMYFUNCTION("IMPORTRANGE(""https://docs.google.com/spreadsheets/d/1SX6NBoVAgQJ6U1MVXOaj8PK2l7WJ3RER9xtqwdhxkhw/edit?usp=sharing"",""สิงห์บุรี!I26"")"),0.0)</f>
        <v>0</v>
      </c>
      <c r="J86" s="238">
        <f>IFERROR(__xludf.DUMMYFUNCTION("IMPORTRANGE(""https://docs.google.com/spreadsheets/d/1SX6NBoVAgQJ6U1MVXOaj8PK2l7WJ3RER9xtqwdhxkhw/edit?usp=sharing"",""สิงห์บุรี!J26"")"),0.0)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IFERROR(__xludf.DUMMYFUNCTION("IMPORTRANGE(""https://docs.google.com/spreadsheets/d/1SX6NBoVAgQJ6U1MVXOaj8PK2l7WJ3RER9xtqwdhxkhw/edit?usp=sharing"",""สิงห์บุรี!I27"")"),0.0)</f>
        <v>0</v>
      </c>
      <c r="J87" s="238">
        <f>IFERROR(__xludf.DUMMYFUNCTION("IMPORTRANGE(""https://docs.google.com/spreadsheets/d/1SX6NBoVAgQJ6U1MVXOaj8PK2l7WJ3RER9xtqwdhxkhw/edit?usp=sharing"",""สิงห์บุรี!J27"")"),0.0)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IFERROR(__xludf.DUMMYFUNCTION("IMPORTRANGE(""https://docs.google.com/spreadsheets/d/1SX6NBoVAgQJ6U1MVXOaj8PK2l7WJ3RER9xtqwdhxkhw/edit?usp=sharing"",""สิงห์บุรี!I28"")"),0.0)</f>
        <v>0</v>
      </c>
      <c r="J88" s="238">
        <f>IFERROR(__xludf.DUMMYFUNCTION("IMPORTRANGE(""https://docs.google.com/spreadsheets/d/1SX6NBoVAgQJ6U1MVXOaj8PK2l7WJ3RER9xtqwdhxkhw/edit?usp=sharing"",""สิงห์บุรี!J28"")"),0.0)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IFERROR(__xludf.DUMMYFUNCTION("IMPORTRANGE(""https://docs.google.com/spreadsheets/d/1SX6NBoVAgQJ6U1MVXOaj8PK2l7WJ3RER9xtqwdhxkhw/edit?usp=sharing"",""สิงห์บุรี!J29"")"),0.0)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IFERROR(__xludf.DUMMYFUNCTION("IMPORTRANGE(""https://docs.google.com/spreadsheets/d/1SX6NBoVAgQJ6U1MVXOaj8PK2l7WJ3RER9xtqwdhxkhw/edit?usp=sharing"",""สิงห์บุรี!J30"")"),0.0)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IFERROR(__xludf.DUMMYFUNCTION("IMPORTRANGE(""https://docs.google.com/spreadsheets/d/1SX6NBoVAgQJ6U1MVXOaj8PK2l7WJ3RER9xtqwdhxkhw/edit?usp=sharing"",""สิงห์บุรี!I32"")"),0.0)</f>
        <v>0</v>
      </c>
      <c r="J92" s="172">
        <f>IFERROR(__xludf.DUMMYFUNCTION("IMPORTRANGE(""https://docs.google.com/spreadsheets/d/1SX6NBoVAgQJ6U1MVXOaj8PK2l7WJ3RER9xtqwdhxkhw/edit?usp=sharing"",""สิงห์บุรี!J32"")"),0.0)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IFERROR(__xludf.DUMMYFUNCTION("IMPORTRANGE(""https://docs.google.com/spreadsheets/d/1SX6NBoVAgQJ6U1MVXOaj8PK2l7WJ3RER9xtqwdhxkhw/edit?usp=sharing"",""สิงห์บุรี!I33"")"),0.0)</f>
        <v>0</v>
      </c>
      <c r="J93" s="172">
        <f>IFERROR(__xludf.DUMMYFUNCTION("IMPORTRANGE(""https://docs.google.com/spreadsheets/d/1SX6NBoVAgQJ6U1MVXOaj8PK2l7WJ3RER9xtqwdhxkhw/edit?usp=sharing"",""สิงห์บุรี!J33"")"),0.0)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IFERROR(__xludf.DUMMYFUNCTION("IMPORTRANGE(""https://docs.google.com/spreadsheets/d/1Yj_ptqi66GCucihVvJfMjLAmec39IyEx_6qawtMGysU/edit?usp=sharing"",""สบก!AR77"")"),0.0)</f>
        <v>0</v>
      </c>
      <c r="N98" s="202">
        <f>IFERROR(__xludf.DUMMYFUNCTION("IMPORTRANGE(""https://docs.google.com/spreadsheets/d/1Yj_ptqi66GCucihVvJfMjLAmec39IyEx_6qawtMGysU/edit?usp=sharing"",""สบก!AS77"")"),0.0)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IFERROR(__xludf.DUMMYFUNCTION("IMPORTRANGE(""https://docs.google.com/spreadsheets/d/1Yj_ptqi66GCucihVvJfMjLAmec39IyEx_6qawtMGysU/edit?usp=sharing"",""สบก!AN77"")"),0.0)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IFERROR(__xludf.DUMMYFUNCTION("IMPORTRANGE(""https://docs.google.com/spreadsheets/d/1Yj_ptqi66GCucihVvJfMjLAmec39IyEx_6qawtMGysU/edit?usp=sharing"",""สบก!AO77"")"),0.0)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IFERROR(__xludf.DUMMYFUNCTION("IMPORTRANGE(""https://docs.google.com/spreadsheets/d/1Yj_ptqi66GCucihVvJfMjLAmec39IyEx_6qawtMGysU/edit?usp=sharing"",""สบก!AP77"")"),0.0)</f>
        <v>0</v>
      </c>
      <c r="M102" s="125"/>
      <c r="N102" s="115">
        <f>IFERROR(__xludf.DUMMYFUNCTION("IMPORTRANGE(""https://docs.google.com/spreadsheets/d/1Yj_ptqi66GCucihVvJfMjLAmec39IyEx_6qawtMGysU/edit?usp=sharing"",""สบก!AT77"")"),0.0)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IFERROR(__xludf.DUMMYFUNCTION("IMPORTRANGE(""https://docs.google.com/spreadsheets/d/1SX6NBoVAgQJ6U1MVXOaj8PK2l7WJ3RER9xtqwdhxkhw/edit?usp=sharing"",""สิงห์บุรี!J39"")"),0.0)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IFERROR(__xludf.DUMMYFUNCTION("IMPORTRANGE(""https://docs.google.com/spreadsheets/d/1SX6NBoVAgQJ6U1MVXOaj8PK2l7WJ3RER9xtqwdhxkhw/edit?usp=sharing"",""สิงห์บุรี!J40"")"),0.0)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IFERROR(__xludf.DUMMYFUNCTION("IMPORTRANGE(""https://docs.google.com/spreadsheets/d/1SX6NBoVAgQJ6U1MVXOaj8PK2l7WJ3RER9xtqwdhxkhw/edit?usp=sharing"",""สิงห์บุรี!J41"")"),0.0)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IFERROR(__xludf.DUMMYFUNCTION("IMPORTRANGE(""https://docs.google.com/spreadsheets/d/1SX6NBoVAgQJ6U1MVXOaj8PK2l7WJ3RER9xtqwdhxkhw/edit?usp=sharing"",""สิงห์บุรี!J42"")"),0.0)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IFERROR(__xludf.DUMMYFUNCTION("IMPORTRANGE(""https://docs.google.com/spreadsheets/d/1SX6NBoVAgQJ6U1MVXOaj8PK2l7WJ3RER9xtqwdhxkhw/edit?usp=sharing"",""สิงห์บุรี!I43"")"),0.0)</f>
        <v>0</v>
      </c>
      <c r="J108" s="238">
        <f>IFERROR(__xludf.DUMMYFUNCTION("IMPORTRANGE(""https://docs.google.com/spreadsheets/d/1SX6NBoVAgQJ6U1MVXOaj8PK2l7WJ3RER9xtqwdhxkhw/edit?usp=sharing"",""สิงห์บุรี!J43"")"),0.0)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IFERROR(__xludf.DUMMYFUNCTION("IMPORTRANGE(""https://docs.google.com/spreadsheets/d/1SX6NBoVAgQJ6U1MVXOaj8PK2l7WJ3RER9xtqwdhxkhw/edit?usp=sharing"",""สิงห์บุรี!I44"")"),0.0)</f>
        <v>0</v>
      </c>
      <c r="J109" s="238">
        <f>IFERROR(__xludf.DUMMYFUNCTION("IMPORTRANGE(""https://docs.google.com/spreadsheets/d/1SX6NBoVAgQJ6U1MVXOaj8PK2l7WJ3RER9xtqwdhxkhw/edit?usp=sharing"",""สิงห์บุรี!J44"")"),0.0)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IFERROR(__xludf.DUMMYFUNCTION("IMPORTRANGE(""https://docs.google.com/spreadsheets/d/1SX6NBoVAgQJ6U1MVXOaj8PK2l7WJ3RER9xtqwdhxkhw/edit?usp=sharing"",""สิงห์บุรี!I45"")"),0.0)</f>
        <v>0</v>
      </c>
      <c r="J110" s="238">
        <f>IFERROR(__xludf.DUMMYFUNCTION("IMPORTRANGE(""https://docs.google.com/spreadsheets/d/1SX6NBoVAgQJ6U1MVXOaj8PK2l7WJ3RER9xtqwdhxkhw/edit?usp=sharing"",""สิงห์บุรี!J45"")"),0.0)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IFERROR(__xludf.DUMMYFUNCTION("IMPORTRANGE(""https://docs.google.com/spreadsheets/d/1SX6NBoVAgQJ6U1MVXOaj8PK2l7WJ3RER9xtqwdhxkhw/edit?usp=sharing"",""สิงห์บุรี!I46"")"),0.0)</f>
        <v>0</v>
      </c>
      <c r="J111" s="238">
        <f>IFERROR(__xludf.DUMMYFUNCTION("IMPORTRANGE(""https://docs.google.com/spreadsheets/d/1SX6NBoVAgQJ6U1MVXOaj8PK2l7WJ3RER9xtqwdhxkhw/edit?usp=sharing"",""สิงห์บุรี!J46"")"),0.0)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IFERROR(__xludf.DUMMYFUNCTION("IMPORTRANGE(""https://docs.google.com/spreadsheets/d/1SX6NBoVAgQJ6U1MVXOaj8PK2l7WJ3RER9xtqwdhxkhw/edit?usp=sharing"",""สิงห์บุรี!I47"")"),0.0)</f>
        <v>0</v>
      </c>
      <c r="J112" s="238">
        <f>IFERROR(__xludf.DUMMYFUNCTION("IMPORTRANGE(""https://docs.google.com/spreadsheets/d/1SX6NBoVAgQJ6U1MVXOaj8PK2l7WJ3RER9xtqwdhxkhw/edit?usp=sharing"",""สิงห์บุรี!J47"")"),0.0)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IFERROR(__xludf.DUMMYFUNCTION("IMPORTRANGE(""https://docs.google.com/spreadsheets/d/1SX6NBoVAgQJ6U1MVXOaj8PK2l7WJ3RER9xtqwdhxkhw/edit?usp=sharing"",""สิงห์บุรี!I48"")"),0.0)</f>
        <v>0</v>
      </c>
      <c r="J113" s="238">
        <f>IFERROR(__xludf.DUMMYFUNCTION("IMPORTRANGE(""https://docs.google.com/spreadsheets/d/1SX6NBoVAgQJ6U1MVXOaj8PK2l7WJ3RER9xtqwdhxkhw/edit?usp=sharing"",""สิงห์บุรี!J48"")"),0.0)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IFERROR(__xludf.DUMMYFUNCTION("IMPORTRANGE(""https://docs.google.com/spreadsheets/d/1SX6NBoVAgQJ6U1MVXOaj8PK2l7WJ3RER9xtqwdhxkhw/edit?usp=sharing"",""สิงห์บุรี!J49"")"),0.0)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IFERROR(__xludf.DUMMYFUNCTION("IMPORTRANGE(""https://docs.google.com/spreadsheets/d/1SX6NBoVAgQJ6U1MVXOaj8PK2l7WJ3RER9xtqwdhxkhw/edit?usp=sharing"",""สิงห์บุรี!J50"")"),0.0)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IFERROR(__xludf.DUMMYFUNCTION("IMPORTRANGE(""https://docs.google.com/spreadsheets/d/1SX6NBoVAgQJ6U1MVXOaj8PK2l7WJ3RER9xtqwdhxkhw/edit?usp=sharing"",""สิงห์บุรี!I52"")"),0.0)</f>
        <v>0</v>
      </c>
      <c r="J117" s="172">
        <f>IFERROR(__xludf.DUMMYFUNCTION("IMPORTRANGE(""https://docs.google.com/spreadsheets/d/1SX6NBoVAgQJ6U1MVXOaj8PK2l7WJ3RER9xtqwdhxkhw/edit?usp=sharing"",""สิงห์บุรี!J52"")"),0.0)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IFERROR(__xludf.DUMMYFUNCTION("IMPORTRANGE(""https://docs.google.com/spreadsheets/d/1Yj_ptqi66GCucihVvJfMjLAmec39IyEx_6qawtMGysU/edit?usp=sharing"",""สบก!BA77"")"),0.0)</f>
        <v>0</v>
      </c>
      <c r="N122" s="202">
        <f>IFERROR(__xludf.DUMMYFUNCTION("IMPORTRANGE(""https://docs.google.com/spreadsheets/d/1Yj_ptqi66GCucihVvJfMjLAmec39IyEx_6qawtMGysU/edit?usp=sharing"",""สบก!BB77"")"),0.0)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IFERROR(__xludf.DUMMYFUNCTION("IMPORTRANGE(""https://docs.google.com/spreadsheets/d/1Yj_ptqi66GCucihVvJfMjLAmec39IyEx_6qawtMGysU/edit?usp=sharing"",""สบก!AW77"")"),0.0)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IFERROR(__xludf.DUMMYFUNCTION("IMPORTRANGE(""https://docs.google.com/spreadsheets/d/1Yj_ptqi66GCucihVvJfMjLAmec39IyEx_6qawtMGysU/edit?usp=sharing"",""สบก!AX77"")"),0.0)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IFERROR(__xludf.DUMMYFUNCTION("IMPORTRANGE(""https://docs.google.com/spreadsheets/d/1Yj_ptqi66GCucihVvJfMjLAmec39IyEx_6qawtMGysU/edit?usp=sharing"",""สบก!AY77"")"),0.0)</f>
        <v>0</v>
      </c>
      <c r="M126" s="125"/>
      <c r="N126" s="115">
        <f>IFERROR(__xludf.DUMMYFUNCTION("IMPORTRANGE(""https://docs.google.com/spreadsheets/d/1Yj_ptqi66GCucihVvJfMjLAmec39IyEx_6qawtMGysU/edit?usp=sharing"",""สบก!BC77"")"),0.0)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IFERROR(__xludf.DUMMYFUNCTION("IMPORTRANGE(""https://docs.google.com/spreadsheets/d/1SX6NBoVAgQJ6U1MVXOaj8PK2l7WJ3RER9xtqwdhxkhw/edit?usp=sharing"",""สิงห์บุรี!J58"")"),0.0)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IFERROR(__xludf.DUMMYFUNCTION("IMPORTRANGE(""https://docs.google.com/spreadsheets/d/1SX6NBoVAgQJ6U1MVXOaj8PK2l7WJ3RER9xtqwdhxkhw/edit?usp=sharing"",""สิงห์บุรี!J59"")"),0.0)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IFERROR(__xludf.DUMMYFUNCTION("IMPORTRANGE(""https://docs.google.com/spreadsheets/d/1SX6NBoVAgQJ6U1MVXOaj8PK2l7WJ3RER9xtqwdhxkhw/edit?usp=sharing"",""สิงห์บุรี!J60"")"),0.0)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IFERROR(__xludf.DUMMYFUNCTION("IMPORTRANGE(""https://docs.google.com/spreadsheets/d/1SX6NBoVAgQJ6U1MVXOaj8PK2l7WJ3RER9xtqwdhxkhw/edit?usp=sharing"",""สิงห์บุรี!J61"")"),0.0)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IFERROR(__xludf.DUMMYFUNCTION("IMPORTRANGE(""https://docs.google.com/spreadsheets/d/1SX6NBoVAgQJ6U1MVXOaj8PK2l7WJ3RER9xtqwdhxkhw/edit?usp=sharing"",""สิงห์บุรี!I62"")"),0.0)</f>
        <v>0</v>
      </c>
      <c r="J132" s="238">
        <f>IFERROR(__xludf.DUMMYFUNCTION("IMPORTRANGE(""https://docs.google.com/spreadsheets/d/1SX6NBoVAgQJ6U1MVXOaj8PK2l7WJ3RER9xtqwdhxkhw/edit?usp=sharing"",""สิงห์บุรี!J62"")"),0.0)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IFERROR(__xludf.DUMMYFUNCTION("IMPORTRANGE(""https://docs.google.com/spreadsheets/d/1SX6NBoVAgQJ6U1MVXOaj8PK2l7WJ3RER9xtqwdhxkhw/edit?usp=sharing"",""สิงห์บุรี!I63"")"),0.0)</f>
        <v>0</v>
      </c>
      <c r="J133" s="238">
        <f>IFERROR(__xludf.DUMMYFUNCTION("IMPORTRANGE(""https://docs.google.com/spreadsheets/d/1SX6NBoVAgQJ6U1MVXOaj8PK2l7WJ3RER9xtqwdhxkhw/edit?usp=sharing"",""สิงห์บุรี!J63"")"),0.0)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IFERROR(__xludf.DUMMYFUNCTION("IMPORTRANGE(""https://docs.google.com/spreadsheets/d/1SX6NBoVAgQJ6U1MVXOaj8PK2l7WJ3RER9xtqwdhxkhw/edit?usp=sharing"",""สิงห์บุรี!J64"")"),0.0)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IFERROR(__xludf.DUMMYFUNCTION("IMPORTRANGE(""https://docs.google.com/spreadsheets/d/1SX6NBoVAgQJ6U1MVXOaj8PK2l7WJ3RER9xtqwdhxkhw/edit?usp=sharing"",""สิงห์บุรี!J65"")"),0.0)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IFERROR(__xludf.DUMMYFUNCTION("IMPORTRANGE(""https://docs.google.com/spreadsheets/d/1SX6NBoVAgQJ6U1MVXOaj8PK2l7WJ3RER9xtqwdhxkhw/edit?usp=sharing"",""สิงห์บุรี!I68"")"),0.0)</f>
        <v>0</v>
      </c>
      <c r="J138" s="301">
        <f>IFERROR(__xludf.DUMMYFUNCTION("IMPORTRANGE(""https://docs.google.com/spreadsheets/d/1SX6NBoVAgQJ6U1MVXOaj8PK2l7WJ3RER9xtqwdhxkhw/edit?usp=sharing"",""สิงห์บุรี!J68"")"),0.0)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28700</v>
      </c>
      <c r="M140" s="183">
        <f t="shared" si="65"/>
        <v>17750</v>
      </c>
      <c r="N140" s="183">
        <f t="shared" si="65"/>
        <v>14678</v>
      </c>
      <c r="O140" s="182">
        <f t="shared" ref="O140:O142" si="67">IF(L140&gt;0,N140*100/L140,0)</f>
        <v>51.14285714</v>
      </c>
      <c r="P140" s="182">
        <f t="shared" ref="P140:P142" si="68">IF(M140&gt;0,N140*100/M140,0)</f>
        <v>82.69295775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28700</v>
      </c>
      <c r="M142" s="188">
        <f t="shared" si="69"/>
        <v>17750</v>
      </c>
      <c r="N142" s="188">
        <f t="shared" si="69"/>
        <v>14678</v>
      </c>
      <c r="O142" s="187">
        <f t="shared" si="67"/>
        <v>51.14285714</v>
      </c>
      <c r="P142" s="187">
        <f t="shared" si="68"/>
        <v>82.69295775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28700</v>
      </c>
      <c r="M144" s="201">
        <f>IFERROR(__xludf.DUMMYFUNCTION("IMPORTRANGE(""https://docs.google.com/spreadsheets/d/1Yj_ptqi66GCucihVvJfMjLAmec39IyEx_6qawtMGysU/edit?usp=sharing"",""สบก!BJ77"")"),17750.0)</f>
        <v>17750</v>
      </c>
      <c r="N144" s="202">
        <f>IFERROR(__xludf.DUMMYFUNCTION("IMPORTRANGE(""https://docs.google.com/spreadsheets/d/1Yj_ptqi66GCucihVvJfMjLAmec39IyEx_6qawtMGysU/edit?usp=sharing"",""สบก!BK77"")"),14678.0)</f>
        <v>14678</v>
      </c>
      <c r="O144" s="203">
        <f>IF(L144&gt;0,N144*100/L144,0)</f>
        <v>51.14285714</v>
      </c>
      <c r="P144" s="203">
        <f>IF(M144&gt;0,N144*100/M144,0)</f>
        <v>82.69295775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IFERROR(__xludf.DUMMYFUNCTION("IMPORTRANGE(""https://docs.google.com/spreadsheets/d/1Yj_ptqi66GCucihVvJfMjLAmec39IyEx_6qawtMGysU/edit?usp=sharing"",""สบก!BF77"")"),0.0)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IFERROR(__xludf.DUMMYFUNCTION("IMPORTRANGE(""https://docs.google.com/spreadsheets/d/1Yj_ptqi66GCucihVvJfMjLAmec39IyEx_6qawtMGysU/edit?usp=sharing"",""สบก!BG77"")"),28700.0)</f>
        <v>28700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IFERROR(__xludf.DUMMYFUNCTION("IMPORTRANGE(""https://docs.google.com/spreadsheets/d/1Yj_ptqi66GCucihVvJfMjLAmec39IyEx_6qawtMGysU/edit?usp=sharing"",""สบก!BH77"")"),0.0)</f>
        <v>0</v>
      </c>
      <c r="M148" s="125"/>
      <c r="N148" s="115">
        <f>IFERROR(__xludf.DUMMYFUNCTION("IMPORTRANGE(""https://docs.google.com/spreadsheets/d/1Yj_ptqi66GCucihVvJfMjLAmec39IyEx_6qawtMGysU/edit?usp=sharing"",""สบก!BL77"")"),0.0)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IFERROR(__xludf.DUMMYFUNCTION("IMPORTRANGE(""https://docs.google.com/spreadsheets/d/1SX6NBoVAgQJ6U1MVXOaj8PK2l7WJ3RER9xtqwdhxkhw/edit?usp=sharing"",""สิงห์บุรี!I74"")"),4.0)</f>
        <v>4</v>
      </c>
      <c r="J149" s="309">
        <f>IFERROR(__xludf.DUMMYFUNCTION("IMPORTRANGE(""https://docs.google.com/spreadsheets/d/1SX6NBoVAgQJ6U1MVXOaj8PK2l7WJ3RER9xtqwdhxkhw/edit?usp=sharing"",""สิงห์บุรี!J74"")"),1.0)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IFERROR(__xludf.DUMMYFUNCTION("IMPORTRANGE(""https://docs.google.com/spreadsheets/d/1SX6NBoVAgQJ6U1MVXOaj8PK2l7WJ3RER9xtqwdhxkhw/edit?usp=sharing"",""สิงห์บุรี!J79"")"),0.0)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IFERROR(__xludf.DUMMYFUNCTION("IMPORTRANGE(""https://docs.google.com/spreadsheets/d/1SX6NBoVAgQJ6U1MVXOaj8PK2l7WJ3RER9xtqwdhxkhw/edit?usp=sharing"",""สิงห์บุรี!J80"")"),1.0)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IFERROR(__xludf.DUMMYFUNCTION("IMPORTRANGE(""https://docs.google.com/spreadsheets/d/1SX6NBoVAgQJ6U1MVXOaj8PK2l7WJ3RER9xtqwdhxkhw/edit?usp=sharing"",""สิงห์บุรี!J81"")"),1.0)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IFERROR(__xludf.DUMMYFUNCTION("IMPORTRANGE(""https://docs.google.com/spreadsheets/d/1SX6NBoVAgQJ6U1MVXOaj8PK2l7WJ3RER9xtqwdhxkhw/edit?usp=sharing"",""สิงห์บุรี!J82"")"),1.0)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IFERROR(__xludf.DUMMYFUNCTION("IMPORTRANGE(""https://docs.google.com/spreadsheets/d/1SX6NBoVAgQJ6U1MVXOaj8PK2l7WJ3RER9xtqwdhxkhw/edit?usp=sharing"",""สิงห์บุรี!I83"")"),4.0)</f>
        <v>4</v>
      </c>
      <c r="J158" s="223">
        <f>IFERROR(__xludf.DUMMYFUNCTION("IMPORTRANGE(""https://docs.google.com/spreadsheets/d/1SX6NBoVAgQJ6U1MVXOaj8PK2l7WJ3RER9xtqwdhxkhw/edit?usp=sharing"",""สิงห์บุรี!J83"")"),1.0)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IFERROR(__xludf.DUMMYFUNCTION("IMPORTRANGE(""https://docs.google.com/spreadsheets/d/1SX6NBoVAgQJ6U1MVXOaj8PK2l7WJ3RER9xtqwdhxkhw/edit?usp=sharing"",""สิงห์บุรี!J84"")"),42.0)</f>
        <v>42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IFERROR(__xludf.DUMMYFUNCTION("IMPORTRANGE(""https://docs.google.com/spreadsheets/d/1SX6NBoVAgQJ6U1MVXOaj8PK2l7WJ3RER9xtqwdhxkhw/edit?usp=sharing"",""สิงห์บุรี!J85"")"),42.0)</f>
        <v>42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IFERROR(__xludf.DUMMYFUNCTION("IMPORTRANGE(""https://docs.google.com/spreadsheets/d/1SX6NBoVAgQJ6U1MVXOaj8PK2l7WJ3RER9xtqwdhxkhw/edit?usp=sharing"",""สิงห์บุรี!J86"")"),0.0)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IFERROR(__xludf.DUMMYFUNCTION("IMPORTRANGE(""https://docs.google.com/spreadsheets/d/1SX6NBoVAgQJ6U1MVXOaj8PK2l7WJ3RER9xtqwdhxkhw/edit?usp=sharing"",""สิงห์บุรี!J87"")"),0.0)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IFERROR(__xludf.DUMMYFUNCTION("IMPORTRANGE(""https://docs.google.com/spreadsheets/d/1SX6NBoVAgQJ6U1MVXOaj8PK2l7WJ3RER9xtqwdhxkhw/edit?usp=sharing"",""สิงห์บุรี!J88"")"),0.0)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IFERROR(__xludf.DUMMYFUNCTION("IMPORTRANGE(""https://docs.google.com/spreadsheets/d/1SX6NBoVAgQJ6U1MVXOaj8PK2l7WJ3RER9xtqwdhxkhw/edit?usp=sharing"",""สิงห์บุรี!I89"")"),1.0)</f>
        <v>1</v>
      </c>
      <c r="J164" s="317">
        <f>IFERROR(__xludf.DUMMYFUNCTION("IMPORTRANGE(""https://docs.google.com/spreadsheets/d/1SX6NBoVAgQJ6U1MVXOaj8PK2l7WJ3RER9xtqwdhxkhw/edit?usp=sharing"",""สิงห์บุรี!J89"")"),1.0)</f>
        <v>1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IFERROR(__xludf.DUMMYFUNCTION("IMPORTRANGE(""https://docs.google.com/spreadsheets/d/1SX6NBoVAgQJ6U1MVXOaj8PK2l7WJ3RER9xtqwdhxkhw/edit?usp=sharing"",""สิงห์บุรี!J94"")"),0.0)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 t="str">
        <f>IFERROR(__xludf.DUMMYFUNCTION("IMPORTRANGE(""https://docs.google.com/spreadsheets/d/1SX6NBoVAgQJ6U1MVXOaj8PK2l7WJ3RER9xtqwdhxkhw/edit?usp=sharing"",""สิงห์บุรี!J95"")"),"")</f>
        <v/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 t="str">
        <f>IFERROR(__xludf.DUMMYFUNCTION("IMPORTRANGE(""https://docs.google.com/spreadsheets/d/1SX6NBoVAgQJ6U1MVXOaj8PK2l7WJ3RER9xtqwdhxkhw/edit?usp=sharing"",""สิงห์บุรี!J96"")"),"")</f>
        <v/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IFERROR(__xludf.DUMMYFUNCTION("IMPORTRANGE(""https://docs.google.com/spreadsheets/d/1SX6NBoVAgQJ6U1MVXOaj8PK2l7WJ3RER9xtqwdhxkhw/edit?usp=sharing"",""สิงห์บุรี!J97"")"),0.0)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IFERROR(__xludf.DUMMYFUNCTION("IMPORTRANGE(""https://docs.google.com/spreadsheets/d/1SX6NBoVAgQJ6U1MVXOaj8PK2l7WJ3RER9xtqwdhxkhw/edit?usp=sharing"",""สิงห์บุรี!I98"")"),1.0)</f>
        <v>1</v>
      </c>
      <c r="J173" s="223">
        <f>IFERROR(__xludf.DUMMYFUNCTION("IMPORTRANGE(""https://docs.google.com/spreadsheets/d/1SX6NBoVAgQJ6U1MVXOaj8PK2l7WJ3RER9xtqwdhxkhw/edit?usp=sharing"",""สิงห์บุรี!J98"")"),1.0)</f>
        <v>1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IFERROR(__xludf.DUMMYFUNCTION("IMPORTRANGE(""https://docs.google.com/spreadsheets/d/1SX6NBoVAgQJ6U1MVXOaj8PK2l7WJ3RER9xtqwdhxkhw/edit?usp=sharing"",""สิงห์บุรี!J99"")"),0.0)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IFERROR(__xludf.DUMMYFUNCTION("IMPORTRANGE(""https://docs.google.com/spreadsheets/d/1SX6NBoVAgQJ6U1MVXOaj8PK2l7WJ3RER9xtqwdhxkhw/edit?usp=sharing"",""สิงห์บุรี!J100"")"),1.0)</f>
        <v>1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IFERROR(__xludf.DUMMYFUNCTION("IMPORTRANGE(""https://docs.google.com/spreadsheets/d/1SX6NBoVAgQJ6U1MVXOaj8PK2l7WJ3RER9xtqwdhxkhw/edit?usp=sharing"",""สิงห์บุรี!I101"")"),0.0)</f>
        <v>0</v>
      </c>
      <c r="J176" s="317">
        <f>IFERROR(__xludf.DUMMYFUNCTION("IMPORTRANGE(""https://docs.google.com/spreadsheets/d/1SX6NBoVAgQJ6U1MVXOaj8PK2l7WJ3RER9xtqwdhxkhw/edit?usp=sharing"",""สิงห์บุรี!J101"")"),0.0)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IFERROR(__xludf.DUMMYFUNCTION("IMPORTRANGE(""https://docs.google.com/spreadsheets/d/1SX6NBoVAgQJ6U1MVXOaj8PK2l7WJ3RER9xtqwdhxkhw/edit?usp=sharing"",""สิงห์บุรี!J106"")"),0.0)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IFERROR(__xludf.DUMMYFUNCTION("IMPORTRANGE(""https://docs.google.com/spreadsheets/d/1SX6NBoVAgQJ6U1MVXOaj8PK2l7WJ3RER9xtqwdhxkhw/edit?usp=sharing"",""สิงห์บุรี!J107"")"),0.0)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IFERROR(__xludf.DUMMYFUNCTION("IMPORTRANGE(""https://docs.google.com/spreadsheets/d/1SX6NBoVAgQJ6U1MVXOaj8PK2l7WJ3RER9xtqwdhxkhw/edit?usp=sharing"",""สิงห์บุรี!J108"")"),0.0)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IFERROR(__xludf.DUMMYFUNCTION("IMPORTRANGE(""https://docs.google.com/spreadsheets/d/1SX6NBoVAgQJ6U1MVXOaj8PK2l7WJ3RER9xtqwdhxkhw/edit?usp=sharing"",""สิงห์บุรี!J109"")"),0.0)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IFERROR(__xludf.DUMMYFUNCTION("IMPORTRANGE(""https://docs.google.com/spreadsheets/d/1SX6NBoVAgQJ6U1MVXOaj8PK2l7WJ3RER9xtqwdhxkhw/edit?usp=sharing"",""สิงห์บุรี!I110"")"),0.0)</f>
        <v>0</v>
      </c>
      <c r="J185" s="238">
        <f>IFERROR(__xludf.DUMMYFUNCTION("IMPORTRANGE(""https://docs.google.com/spreadsheets/d/1SX6NBoVAgQJ6U1MVXOaj8PK2l7WJ3RER9xtqwdhxkhw/edit?usp=sharing"",""สิงห์บุรี!J110"")"),0.0)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IFERROR(__xludf.DUMMYFUNCTION("IMPORTRANGE(""https://docs.google.com/spreadsheets/d/1SX6NBoVAgQJ6U1MVXOaj8PK2l7WJ3RER9xtqwdhxkhw/edit?usp=sharing"",""สิงห์บุรี!I111"")"),0.0)</f>
        <v>0</v>
      </c>
      <c r="J186" s="238">
        <f>IFERROR(__xludf.DUMMYFUNCTION("IMPORTRANGE(""https://docs.google.com/spreadsheets/d/1SX6NBoVAgQJ6U1MVXOaj8PK2l7WJ3RER9xtqwdhxkhw/edit?usp=sharing"",""สิงห์บุรี!J111"")"),0.0)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IFERROR(__xludf.DUMMYFUNCTION("IMPORTRANGE(""https://docs.google.com/spreadsheets/d/1SX6NBoVAgQJ6U1MVXOaj8PK2l7WJ3RER9xtqwdhxkhw/edit?usp=sharing"",""สิงห์บุรี!J112"")"),0.0)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IFERROR(__xludf.DUMMYFUNCTION("IMPORTRANGE(""https://docs.google.com/spreadsheets/d/1SX6NBoVAgQJ6U1MVXOaj8PK2l7WJ3RER9xtqwdhxkhw/edit?usp=sharing"",""สิงห์บุรี!J113"")"),0.0)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IFERROR(__xludf.DUMMYFUNCTION("IMPORTRANGE(""https://docs.google.com/spreadsheets/d/1SX6NBoVAgQJ6U1MVXOaj8PK2l7WJ3RER9xtqwdhxkhw/edit?usp=sharing"",""สิงห์บุรี!I114"")"),8000.0)</f>
        <v>8000</v>
      </c>
      <c r="J189" s="317">
        <f>IFERROR(__xludf.DUMMYFUNCTION("IMPORTRANGE(""https://docs.google.com/spreadsheets/d/1SX6NBoVAgQJ6U1MVXOaj8PK2l7WJ3RER9xtqwdhxkhw/edit?usp=sharing"",""สิงห์บุรี!J114"")"),0.0)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IFERROR(__xludf.DUMMYFUNCTION("IMPORTRANGE(""https://docs.google.com/spreadsheets/d/1SX6NBoVAgQJ6U1MVXOaj8PK2l7WJ3RER9xtqwdhxkhw/edit?usp=sharing"",""สิงห์บุรี!J119"")"),1.0)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IFERROR(__xludf.DUMMYFUNCTION("IMPORTRANGE(""https://docs.google.com/spreadsheets/d/1SX6NBoVAgQJ6U1MVXOaj8PK2l7WJ3RER9xtqwdhxkhw/edit?usp=sharing"",""สิงห์บุรี!J120"")"),0.0)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IFERROR(__xludf.DUMMYFUNCTION("IMPORTRANGE(""https://docs.google.com/spreadsheets/d/1SX6NBoVAgQJ6U1MVXOaj8PK2l7WJ3RER9xtqwdhxkhw/edit?usp=sharing"",""สิงห์บุรี!J121"")"),0.0)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IFERROR(__xludf.DUMMYFUNCTION("IMPORTRANGE(""https://docs.google.com/spreadsheets/d/1SX6NBoVAgQJ6U1MVXOaj8PK2l7WJ3RER9xtqwdhxkhw/edit?usp=sharing"",""สิงห์บุรี!J122"")"),0.0)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IFERROR(__xludf.DUMMYFUNCTION("IMPORTRANGE(""https://docs.google.com/spreadsheets/d/1SX6NBoVAgQJ6U1MVXOaj8PK2l7WJ3RER9xtqwdhxkhw/edit?usp=sharing"",""สิงห์บุรี!I124"")"),8000.0)</f>
        <v>8000</v>
      </c>
      <c r="J199" s="223">
        <f>IFERROR(__xludf.DUMMYFUNCTION("IMPORTRANGE(""https://docs.google.com/spreadsheets/d/1SX6NBoVAgQJ6U1MVXOaj8PK2l7WJ3RER9xtqwdhxkhw/edit?usp=sharing"",""สิงห์บุรี!J124"")"),0.0)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IFERROR(__xludf.DUMMYFUNCTION("IMPORTRANGE(""https://docs.google.com/spreadsheets/d/1SX6NBoVAgQJ6U1MVXOaj8PK2l7WJ3RER9xtqwdhxkhw/edit?usp=sharing"",""สิงห์บุรี!I125"")"),8000.0)</f>
        <v>8000</v>
      </c>
      <c r="J200" s="223">
        <f>IFERROR(__xludf.DUMMYFUNCTION("IMPORTRANGE(""https://docs.google.com/spreadsheets/d/1SX6NBoVAgQJ6U1MVXOaj8PK2l7WJ3RER9xtqwdhxkhw/edit?usp=sharing"",""สิงห์บุรี!J125"")"),0.0)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IFERROR(__xludf.DUMMYFUNCTION("IMPORTRANGE(""https://docs.google.com/spreadsheets/d/1SX6NBoVAgQJ6U1MVXOaj8PK2l7WJ3RER9xtqwdhxkhw/edit?usp=sharing"",""สิงห์บุรี!I126"")"),0.0)</f>
        <v>0</v>
      </c>
      <c r="J201" s="223">
        <f>IFERROR(__xludf.DUMMYFUNCTION("IMPORTRANGE(""https://docs.google.com/spreadsheets/d/1SX6NBoVAgQJ6U1MVXOaj8PK2l7WJ3RER9xtqwdhxkhw/edit?usp=sharing"",""สิงห์บุรี!J126"")"),0.0)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IFERROR(__xludf.DUMMYFUNCTION("IMPORTRANGE(""https://docs.google.com/spreadsheets/d/1SX6NBoVAgQJ6U1MVXOaj8PK2l7WJ3RER9xtqwdhxkhw/edit?usp=sharing"",""สิงห์บุรี!J127"")"),0.0)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IFERROR(__xludf.DUMMYFUNCTION("IMPORTRANGE(""https://docs.google.com/spreadsheets/d/1SX6NBoVAgQJ6U1MVXOaj8PK2l7WJ3RER9xtqwdhxkhw/edit?usp=sharing"",""สิงห์บุรี!J128"")"),0.0)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IFERROR(__xludf.DUMMYFUNCTION("IMPORTRANGE(""https://docs.google.com/spreadsheets/d/1SX6NBoVAgQJ6U1MVXOaj8PK2l7WJ3RER9xtqwdhxkhw/edit?usp=sharing"",""สิงห์บุรี!I129"")"),0.0)</f>
        <v>0</v>
      </c>
      <c r="J204" s="317">
        <f>IFERROR(__xludf.DUMMYFUNCTION("IMPORTRANGE(""https://docs.google.com/spreadsheets/d/1SX6NBoVAgQJ6U1MVXOaj8PK2l7WJ3RER9xtqwdhxkhw/edit?usp=sharing"",""สิงห์บุรี!J129"")"),0.0)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IFERROR(__xludf.DUMMYFUNCTION("IMPORTRANGE(""https://docs.google.com/spreadsheets/d/1SX6NBoVAgQJ6U1MVXOaj8PK2l7WJ3RER9xtqwdhxkhw/edit?usp=sharing"",""สิงห์บุรี!J134"")"),0.0)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IFERROR(__xludf.DUMMYFUNCTION("IMPORTRANGE(""https://docs.google.com/spreadsheets/d/1SX6NBoVAgQJ6U1MVXOaj8PK2l7WJ3RER9xtqwdhxkhw/edit?usp=sharing"",""สิงห์บุรี!J135"")"),0.0)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IFERROR(__xludf.DUMMYFUNCTION("IMPORTRANGE(""https://docs.google.com/spreadsheets/d/1SX6NBoVAgQJ6U1MVXOaj8PK2l7WJ3RER9xtqwdhxkhw/edit?usp=sharing"",""สิงห์บุรี!J136"")"),0.0)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IFERROR(__xludf.DUMMYFUNCTION("IMPORTRANGE(""https://docs.google.com/spreadsheets/d/1SX6NBoVAgQJ6U1MVXOaj8PK2l7WJ3RER9xtqwdhxkhw/edit?usp=sharing"",""สิงห์บุรี!J137"")"),0.0)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IFERROR(__xludf.DUMMYFUNCTION("IMPORTRANGE(""https://docs.google.com/spreadsheets/d/1SX6NBoVAgQJ6U1MVXOaj8PK2l7WJ3RER9xtqwdhxkhw/edit?usp=sharing"",""สิงห์บุรี!I138"")"),0.0)</f>
        <v>0</v>
      </c>
      <c r="J213" s="238">
        <f>IFERROR(__xludf.DUMMYFUNCTION("IMPORTRANGE(""https://docs.google.com/spreadsheets/d/1SX6NBoVAgQJ6U1MVXOaj8PK2l7WJ3RER9xtqwdhxkhw/edit?usp=sharing"",""สิงห์บุรี!J138"")"),0.0)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IFERROR(__xludf.DUMMYFUNCTION("IMPORTRANGE(""https://docs.google.com/spreadsheets/d/1SX6NBoVAgQJ6U1MVXOaj8PK2l7WJ3RER9xtqwdhxkhw/edit?usp=sharing"",""สิงห์บุรี!I140"")"),0.0)</f>
        <v>0</v>
      </c>
      <c r="J215" s="238">
        <f>IFERROR(__xludf.DUMMYFUNCTION("IMPORTRANGE(""https://docs.google.com/spreadsheets/d/1SX6NBoVAgQJ6U1MVXOaj8PK2l7WJ3RER9xtqwdhxkhw/edit?usp=sharing"",""สิงห์บุรี!J140"")"),0.0)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IFERROR(__xludf.DUMMYFUNCTION("IMPORTRANGE(""https://docs.google.com/spreadsheets/d/1SX6NBoVAgQJ6U1MVXOaj8PK2l7WJ3RER9xtqwdhxkhw/edit?usp=sharing"",""สิงห์บุรี!I141"")"),0.0)</f>
        <v>0</v>
      </c>
      <c r="J216" s="238">
        <f>IFERROR(__xludf.DUMMYFUNCTION("IMPORTRANGE(""https://docs.google.com/spreadsheets/d/1SX6NBoVAgQJ6U1MVXOaj8PK2l7WJ3RER9xtqwdhxkhw/edit?usp=sharing"",""สิงห์บุรี!J141"")"),0.0)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IFERROR(__xludf.DUMMYFUNCTION("IMPORTRANGE(""https://docs.google.com/spreadsheets/d/1SX6NBoVAgQJ6U1MVXOaj8PK2l7WJ3RER9xtqwdhxkhw/edit?usp=sharing"",""สิงห์บุรี!J142"")"),0.0)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IFERROR(__xludf.DUMMYFUNCTION("IMPORTRANGE(""https://docs.google.com/spreadsheets/d/1SX6NBoVAgQJ6U1MVXOaj8PK2l7WJ3RER9xtqwdhxkhw/edit?usp=sharing"",""สิงห์บุรี!J143"")"),0.0)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IFERROR(__xludf.DUMMYFUNCTION("IMPORTRANGE(""https://docs.google.com/spreadsheets/d/1SX6NBoVAgQJ6U1MVXOaj8PK2l7WJ3RER9xtqwdhxkhw/edit?usp=sharing"",""สิงห์บุรี!I144"")"),13.0)</f>
        <v>13</v>
      </c>
      <c r="J219" s="301">
        <f>IFERROR(__xludf.DUMMYFUNCTION("IMPORTRANGE(""https://docs.google.com/spreadsheets/d/1SX6NBoVAgQJ6U1MVXOaj8PK2l7WJ3RER9xtqwdhxkhw/edit?usp=sharing"",""สิงห์บุรี!J144"")"),13.0)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IFERROR(__xludf.DUMMYFUNCTION("IMPORTRANGE(""https://docs.google.com/spreadsheets/d/1Yj_ptqi66GCucihVvJfMjLAmec39IyEx_6qawtMGysU/edit?usp=sharing"",""สบก!BS77"")"),19295.0)</f>
        <v>19295</v>
      </c>
      <c r="N224" s="202">
        <f>IFERROR(__xludf.DUMMYFUNCTION("IMPORTRANGE(""https://docs.google.com/spreadsheets/d/1Yj_ptqi66GCucihVvJfMjLAmec39IyEx_6qawtMGysU/edit?usp=sharing"",""สบก!BT77"")"),19295.0)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IFERROR(__xludf.DUMMYFUNCTION("IMPORTRANGE(""https://docs.google.com/spreadsheets/d/1Yj_ptqi66GCucihVvJfMjLAmec39IyEx_6qawtMGysU/edit?usp=sharing"",""สบก!BO77"")"),0.0)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IFERROR(__xludf.DUMMYFUNCTION("IMPORTRANGE(""https://docs.google.com/spreadsheets/d/1Yj_ptqi66GCucihVvJfMjLAmec39IyEx_6qawtMGysU/edit?usp=sharing"",""สบก!BP77"")"),19295.0)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IFERROR(__xludf.DUMMYFUNCTION("IMPORTRANGE(""https://docs.google.com/spreadsheets/d/1Yj_ptqi66GCucihVvJfMjLAmec39IyEx_6qawtMGysU/edit?usp=sharing"",""สบก!BQ77"")"),0.0)</f>
        <v>0</v>
      </c>
      <c r="M228" s="125"/>
      <c r="N228" s="115">
        <f>IFERROR(__xludf.DUMMYFUNCTION("IMPORTRANGE(""https://docs.google.com/spreadsheets/d/1Yj_ptqi66GCucihVvJfMjLAmec39IyEx_6qawtMGysU/edit?usp=sharing"",""สบก!BU77"")"),0.0)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IFERROR(__xludf.DUMMYFUNCTION("IMPORTRANGE(""https://docs.google.com/spreadsheets/d/1SX6NBoVAgQJ6U1MVXOaj8PK2l7WJ3RER9xtqwdhxkhw/edit?usp=sharing"",""สิงห์บุรี!I149"")"),13.0)</f>
        <v>13</v>
      </c>
      <c r="J229" s="301">
        <f>IFERROR(__xludf.DUMMYFUNCTION("IMPORTRANGE(""https://docs.google.com/spreadsheets/d/1SX6NBoVAgQJ6U1MVXOaj8PK2l7WJ3RER9xtqwdhxkhw/edit?usp=sharing"",""สิงห์บุรี!J149"")"),13.0)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IFERROR(__xludf.DUMMYFUNCTION("IMPORTRANGE(""https://docs.google.com/spreadsheets/d/1SX6NBoVAgQJ6U1MVXOaj8PK2l7WJ3RER9xtqwdhxkhw/edit?usp=sharing"",""สิงห์บุรี!J151"")"),0.0)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 t="str">
        <f>IFERROR(__xludf.DUMMYFUNCTION("IMPORTRANGE(""https://docs.google.com/spreadsheets/d/1SX6NBoVAgQJ6U1MVXOaj8PK2l7WJ3RER9xtqwdhxkhw/edit?usp=sharing"",""สิงห์บุรี!J152"")"),"")</f>
        <v/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 t="str">
        <f>IFERROR(__xludf.DUMMYFUNCTION("IMPORTRANGE(""https://docs.google.com/spreadsheets/d/1SX6NBoVAgQJ6U1MVXOaj8PK2l7WJ3RER9xtqwdhxkhw/edit?usp=sharing"",""สิงห์บุรี!J153"")"),"")</f>
        <v/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 t="str">
        <f>IFERROR(__xludf.DUMMYFUNCTION("IMPORTRANGE(""https://docs.google.com/spreadsheets/d/1SX6NBoVAgQJ6U1MVXOaj8PK2l7WJ3RER9xtqwdhxkhw/edit?usp=sharing"",""สิงห์บุรี!J154"")"),"")</f>
        <v/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IFERROR(__xludf.DUMMYFUNCTION("IMPORTRANGE(""https://docs.google.com/spreadsheets/d/1SX6NBoVAgQJ6U1MVXOaj8PK2l7WJ3RER9xtqwdhxkhw/edit?usp=sharing"",""สิงห์บุรี!I155"")"),13.0)</f>
        <v>13</v>
      </c>
      <c r="J235" s="223">
        <f>IFERROR(__xludf.DUMMYFUNCTION("IMPORTRANGE(""https://docs.google.com/spreadsheets/d/1SX6NBoVAgQJ6U1MVXOaj8PK2l7WJ3RER9xtqwdhxkhw/edit?usp=sharing"",""สิงห์บุรี!J155"")"),13.0)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IFERROR(__xludf.DUMMYFUNCTION("IMPORTRANGE(""https://docs.google.com/spreadsheets/d/1SX6NBoVAgQJ6U1MVXOaj8PK2l7WJ3RER9xtqwdhxkhw/edit?usp=sharing"",""สิงห์บุรี!J156"")"),0.0)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IFERROR(__xludf.DUMMYFUNCTION("IMPORTRANGE(""https://docs.google.com/spreadsheets/d/1SX6NBoVAgQJ6U1MVXOaj8PK2l7WJ3RER9xtqwdhxkhw/edit?usp=sharing"",""สิงห์บุรี!J157"")"),1.0)</f>
        <v>1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IFERROR(__xludf.DUMMYFUNCTION("IMPORTRANGE(""https://docs.google.com/spreadsheets/d/1SX6NBoVAgQJ6U1MVXOaj8PK2l7WJ3RER9xtqwdhxkhw/edit?usp=sharing"",""สิงห์บุรี!I158"")"),0.0)</f>
        <v>0</v>
      </c>
      <c r="J238" s="301">
        <f>IFERROR(__xludf.DUMMYFUNCTION("IMPORTRANGE(""https://docs.google.com/spreadsheets/d/1SX6NBoVAgQJ6U1MVXOaj8PK2l7WJ3RER9xtqwdhxkhw/edit?usp=sharing"",""สิงห์บุรี!J158"")"),0.0)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IFERROR(__xludf.DUMMYFUNCTION("IMPORTRANGE(""https://docs.google.com/spreadsheets/d/1SX6NBoVAgQJ6U1MVXOaj8PK2l7WJ3RER9xtqwdhxkhw/edit?usp=sharing"",""สิงห์บุรี!J159"")"),"")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IFERROR(__xludf.DUMMYFUNCTION("IMPORTRANGE(""https://docs.google.com/spreadsheets/d/1SX6NBoVAgQJ6U1MVXOaj8PK2l7WJ3RER9xtqwdhxkhw/edit?usp=sharing"",""สิงห์บุรี!J161"")"),0.0)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IFERROR(__xludf.DUMMYFUNCTION("IMPORTRANGE(""https://docs.google.com/spreadsheets/d/1SX6NBoVAgQJ6U1MVXOaj8PK2l7WJ3RER9xtqwdhxkhw/edit?usp=sharing"",""สิงห์บุรี!J162"")"),0.0)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IFERROR(__xludf.DUMMYFUNCTION("IMPORTRANGE(""https://docs.google.com/spreadsheets/d/1SX6NBoVAgQJ6U1MVXOaj8PK2l7WJ3RER9xtqwdhxkhw/edit?usp=sharing"",""สิงห์บุรี!J163"")"),0.0)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IFERROR(__xludf.DUMMYFUNCTION("IMPORTRANGE(""https://docs.google.com/spreadsheets/d/1SX6NBoVAgQJ6U1MVXOaj8PK2l7WJ3RER9xtqwdhxkhw/edit?usp=sharing"",""สิงห์บุรี!I164"")"),0.0)</f>
        <v>0</v>
      </c>
      <c r="J244" s="222">
        <f>IFERROR(__xludf.DUMMYFUNCTION("IMPORTRANGE(""https://docs.google.com/spreadsheets/d/1SX6NBoVAgQJ6U1MVXOaj8PK2l7WJ3RER9xtqwdhxkhw/edit?usp=sharing"",""สิงห์บุรี!J164"")"),0.0)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IFERROR(__xludf.DUMMYFUNCTION("IMPORTRANGE(""https://docs.google.com/spreadsheets/d/1SX6NBoVAgQJ6U1MVXOaj8PK2l7WJ3RER9xtqwdhxkhw/edit?usp=sharing"",""สิงห์บุรี!J165"")"),0.0)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IFERROR(__xludf.DUMMYFUNCTION("IMPORTRANGE(""https://docs.google.com/spreadsheets/d/1SX6NBoVAgQJ6U1MVXOaj8PK2l7WJ3RER9xtqwdhxkhw/edit?usp=sharing"",""สิงห์บุรี!J166"")"),0.0)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IFERROR(__xludf.DUMMYFUNCTION("IMPORTRANGE(""https://docs.google.com/spreadsheets/d/1SX6NBoVAgQJ6U1MVXOaj8PK2l7WJ3RER9xtqwdhxkhw/edit?usp=sharing"",""สิงห์บุรี!I169"")"),0.0)</f>
        <v>0</v>
      </c>
      <c r="J249" s="349">
        <f>IFERROR(__xludf.DUMMYFUNCTION("IMPORTRANGE(""https://docs.google.com/spreadsheets/d/1SX6NBoVAgQJ6U1MVXOaj8PK2l7WJ3RER9xtqwdhxkhw/edit?usp=sharing"",""สิงห์บุรี!J169"")"),0.0)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IFERROR(__xludf.DUMMYFUNCTION("IMPORTRANGE(""https://docs.google.com/spreadsheets/d/1Yj_ptqi66GCucihVvJfMjLAmec39IyEx_6qawtMGysU/edit?usp=sharing"",""สบก!CB77"")"),0.0)</f>
        <v>0</v>
      </c>
      <c r="N254" s="202">
        <f>IFERROR(__xludf.DUMMYFUNCTION("IMPORTRANGE(""https://docs.google.com/spreadsheets/d/1Yj_ptqi66GCucihVvJfMjLAmec39IyEx_6qawtMGysU/edit?usp=sharing"",""สบก!CC77"")"),0.0)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IFERROR(__xludf.DUMMYFUNCTION("IMPORTRANGE(""https://docs.google.com/spreadsheets/d/1Yj_ptqi66GCucihVvJfMjLAmec39IyEx_6qawtMGysU/edit?usp=sharing"",""สบก!BX77"")"),0.0)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IFERROR(__xludf.DUMMYFUNCTION("IMPORTRANGE(""https://docs.google.com/spreadsheets/d/1Yj_ptqi66GCucihVvJfMjLAmec39IyEx_6qawtMGysU/edit?usp=sharing"",""สบก!BY77"")"),0.0)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IFERROR(__xludf.DUMMYFUNCTION("IMPORTRANGE(""https://docs.google.com/spreadsheets/d/1Yj_ptqi66GCucihVvJfMjLAmec39IyEx_6qawtMGysU/edit?usp=sharing"",""สบก!BZ77"")"),0.0)</f>
        <v>0</v>
      </c>
      <c r="M258" s="125"/>
      <c r="N258" s="115">
        <f>IFERROR(__xludf.DUMMYFUNCTION("IMPORTRANGE(""https://docs.google.com/spreadsheets/d/1Yj_ptqi66GCucihVvJfMjLAmec39IyEx_6qawtMGysU/edit?usp=sharing"",""สบก!CD77"")"),0.0)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IFERROR(__xludf.DUMMYFUNCTION("IMPORTRANGE(""https://docs.google.com/spreadsheets/d/1SX6NBoVAgQJ6U1MVXOaj8PK2l7WJ3RER9xtqwdhxkhw/edit?usp=sharing"",""สิงห์บุรี!J175"")"),0.0)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IFERROR(__xludf.DUMMYFUNCTION("IMPORTRANGE(""https://docs.google.com/spreadsheets/d/1SX6NBoVAgQJ6U1MVXOaj8PK2l7WJ3RER9xtqwdhxkhw/edit?usp=sharing"",""สิงห์บุรี!J176"")"),0.0)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IFERROR(__xludf.DUMMYFUNCTION("IMPORTRANGE(""https://docs.google.com/spreadsheets/d/1SX6NBoVAgQJ6U1MVXOaj8PK2l7WJ3RER9xtqwdhxkhw/edit?usp=sharing"",""สิงห์บุรี!J177"")"),0.0)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IFERROR(__xludf.DUMMYFUNCTION("IMPORTRANGE(""https://docs.google.com/spreadsheets/d/1SX6NBoVAgQJ6U1MVXOaj8PK2l7WJ3RER9xtqwdhxkhw/edit?usp=sharing"",""สิงห์บุรี!J178"")"),0.0)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IFERROR(__xludf.DUMMYFUNCTION("IMPORTRANGE(""https://docs.google.com/spreadsheets/d/1SX6NBoVAgQJ6U1MVXOaj8PK2l7WJ3RER9xtqwdhxkhw/edit?usp=sharing"",""สิงห์บุรี!I179"")"),0.0)</f>
        <v>0</v>
      </c>
      <c r="J264" s="223">
        <f>IFERROR(__xludf.DUMMYFUNCTION("IMPORTRANGE(""https://docs.google.com/spreadsheets/d/1SX6NBoVAgQJ6U1MVXOaj8PK2l7WJ3RER9xtqwdhxkhw/edit?usp=sharing"",""สิงห์บุรี!J179"")"),0.0)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IFERROR(__xludf.DUMMYFUNCTION("IMPORTRANGE(""https://docs.google.com/spreadsheets/d/1SX6NBoVAgQJ6U1MVXOaj8PK2l7WJ3RER9xtqwdhxkhw/edit?usp=sharing"",""สิงห์บุรี!I180"")"),0.0)</f>
        <v>0</v>
      </c>
      <c r="J265" s="223">
        <f>IFERROR(__xludf.DUMMYFUNCTION("IMPORTRANGE(""https://docs.google.com/spreadsheets/d/1SX6NBoVAgQJ6U1MVXOaj8PK2l7WJ3RER9xtqwdhxkhw/edit?usp=sharing"",""สิงห์บุรี!J180"")"),0.0)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IFERROR(__xludf.DUMMYFUNCTION("IMPORTRANGE(""https://docs.google.com/spreadsheets/d/1SX6NBoVAgQJ6U1MVXOaj8PK2l7WJ3RER9xtqwdhxkhw/edit?usp=sharing"",""สิงห์บุรี!I181"")"),0.0)</f>
        <v>0</v>
      </c>
      <c r="J266" s="223">
        <f>IFERROR(__xludf.DUMMYFUNCTION("IMPORTRANGE(""https://docs.google.com/spreadsheets/d/1SX6NBoVAgQJ6U1MVXOaj8PK2l7WJ3RER9xtqwdhxkhw/edit?usp=sharing"",""สิงห์บุรี!J181"")"),0.0)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IFERROR(__xludf.DUMMYFUNCTION("IMPORTRANGE(""https://docs.google.com/spreadsheets/d/1SX6NBoVAgQJ6U1MVXOaj8PK2l7WJ3RER9xtqwdhxkhw/edit?usp=sharing"",""สิงห์บุรี!I182"")"),0.0)</f>
        <v>0</v>
      </c>
      <c r="J267" s="223">
        <f>IFERROR(__xludf.DUMMYFUNCTION("IMPORTRANGE(""https://docs.google.com/spreadsheets/d/1SX6NBoVAgQJ6U1MVXOaj8PK2l7WJ3RER9xtqwdhxkhw/edit?usp=sharing"",""สิงห์บุรี!J182"")"),0.0)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IFERROR(__xludf.DUMMYFUNCTION("IMPORTRANGE(""https://docs.google.com/spreadsheets/d/1SX6NBoVAgQJ6U1MVXOaj8PK2l7WJ3RER9xtqwdhxkhw/edit?usp=sharing"",""สิงห์บุรี!J183"")"),0.0)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IFERROR(__xludf.DUMMYFUNCTION("IMPORTRANGE(""https://docs.google.com/spreadsheets/d/1SX6NBoVAgQJ6U1MVXOaj8PK2l7WJ3RER9xtqwdhxkhw/edit?usp=sharing"",""สิงห์บุรี!J184"")"),0.0)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IFERROR(__xludf.DUMMYFUNCTION("IMPORTRANGE(""https://docs.google.com/spreadsheets/d/1SX6NBoVAgQJ6U1MVXOaj8PK2l7WJ3RER9xtqwdhxkhw/edit?usp=sharing"",""สิงห์บุรี!I185"")"),0.0)</f>
        <v>0</v>
      </c>
      <c r="J270" s="349">
        <f>IFERROR(__xludf.DUMMYFUNCTION("IMPORTRANGE(""https://docs.google.com/spreadsheets/d/1SX6NBoVAgQJ6U1MVXOaj8PK2l7WJ3RER9xtqwdhxkhw/edit?usp=sharing"",""สิงห์บุรี!J185"")"),0.0)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IFERROR(__xludf.DUMMYFUNCTION("IMPORTRANGE(""https://docs.google.com/spreadsheets/d/1Yj_ptqi66GCucihVvJfMjLAmec39IyEx_6qawtMGysU/edit?usp=sharing"",""สบก!CK77"")"),0.0)</f>
        <v>0</v>
      </c>
      <c r="N275" s="202">
        <f>IFERROR(__xludf.DUMMYFUNCTION("IMPORTRANGE(""https://docs.google.com/spreadsheets/d/1Yj_ptqi66GCucihVvJfMjLAmec39IyEx_6qawtMGysU/edit?usp=sharing"",""สบก!CL77"")"),0.0)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IFERROR(__xludf.DUMMYFUNCTION("IMPORTRANGE(""https://docs.google.com/spreadsheets/d/1Yj_ptqi66GCucihVvJfMjLAmec39IyEx_6qawtMGysU/edit?usp=sharing"",""สบก!CG77"")"),0.0)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IFERROR(__xludf.DUMMYFUNCTION("IMPORTRANGE(""https://docs.google.com/spreadsheets/d/1Yj_ptqi66GCucihVvJfMjLAmec39IyEx_6qawtMGysU/edit?usp=sharing"",""สบก!CH77"")"),0.0)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IFERROR(__xludf.DUMMYFUNCTION("IMPORTRANGE(""https://docs.google.com/spreadsheets/d/1Yj_ptqi66GCucihVvJfMjLAmec39IyEx_6qawtMGysU/edit?usp=sharing"",""สบก!CI77"")"),0.0)</f>
        <v>0</v>
      </c>
      <c r="M279" s="125"/>
      <c r="N279" s="115">
        <f>IFERROR(__xludf.DUMMYFUNCTION("IMPORTRANGE(""https://docs.google.com/spreadsheets/d/1Yj_ptqi66GCucihVvJfMjLAmec39IyEx_6qawtMGysU/edit?usp=sharing"",""สบก!CM77"")"),0.0)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IFERROR(__xludf.DUMMYFUNCTION("IMPORTRANGE(""https://docs.google.com/spreadsheets/d/1SX6NBoVAgQJ6U1MVXOaj8PK2l7WJ3RER9xtqwdhxkhw/edit?usp=sharing"",""สิงห์บุรี!J191"")"),0.0)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IFERROR(__xludf.DUMMYFUNCTION("IMPORTRANGE(""https://docs.google.com/spreadsheets/d/1SX6NBoVAgQJ6U1MVXOaj8PK2l7WJ3RER9xtqwdhxkhw/edit?usp=sharing"",""สิงห์บุรี!J192"")"),0.0)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IFERROR(__xludf.DUMMYFUNCTION("IMPORTRANGE(""https://docs.google.com/spreadsheets/d/1SX6NBoVAgQJ6U1MVXOaj8PK2l7WJ3RER9xtqwdhxkhw/edit?usp=sharing"",""สิงห์บุรี!J193"")"),0.0)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IFERROR(__xludf.DUMMYFUNCTION("IMPORTRANGE(""https://docs.google.com/spreadsheets/d/1SX6NBoVAgQJ6U1MVXOaj8PK2l7WJ3RER9xtqwdhxkhw/edit?usp=sharing"",""สิงห์บุรี!J194"")"),0.0)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IFERROR(__xludf.DUMMYFUNCTION("IMPORTRANGE(""https://docs.google.com/spreadsheets/d/1SX6NBoVAgQJ6U1MVXOaj8PK2l7WJ3RER9xtqwdhxkhw/edit?usp=sharing"",""สิงห์บุรี!I195"")"),0.0)</f>
        <v>0</v>
      </c>
      <c r="J285" s="223">
        <f>IFERROR(__xludf.DUMMYFUNCTION("IMPORTRANGE(""https://docs.google.com/spreadsheets/d/1SX6NBoVAgQJ6U1MVXOaj8PK2l7WJ3RER9xtqwdhxkhw/edit?usp=sharing"",""สิงห์บุรี!J195"")"),0.0)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IFERROR(__xludf.DUMMYFUNCTION("IMPORTRANGE(""https://docs.google.com/spreadsheets/d/1SX6NBoVAgQJ6U1MVXOaj8PK2l7WJ3RER9xtqwdhxkhw/edit?usp=sharing"",""สิงห์บุรี!J196"")"),0.0)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IFERROR(__xludf.DUMMYFUNCTION("IMPORTRANGE(""https://docs.google.com/spreadsheets/d/1SX6NBoVAgQJ6U1MVXOaj8PK2l7WJ3RER9xtqwdhxkhw/edit?usp=sharing"",""สิงห์บุรี!J197"")"),0.0)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IFERROR(__xludf.DUMMYFUNCTION("IMPORTRANGE(""https://docs.google.com/spreadsheets/d/1SX6NBoVAgQJ6U1MVXOaj8PK2l7WJ3RER9xtqwdhxkhw/edit?usp=sharing"",""สิงห์บุรี!I199"")"),0.0)</f>
        <v>0</v>
      </c>
      <c r="J289" s="349">
        <f>IFERROR(__xludf.DUMMYFUNCTION("IMPORTRANGE(""https://docs.google.com/spreadsheets/d/1SX6NBoVAgQJ6U1MVXOaj8PK2l7WJ3RER9xtqwdhxkhw/edit?usp=sharing"",""สิงห์บุรี!J199"")"),0.0)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IFERROR(__xludf.DUMMYFUNCTION("IMPORTRANGE(""https://docs.google.com/spreadsheets/d/1Yj_ptqi66GCucihVvJfMjLAmec39IyEx_6qawtMGysU/edit?usp=sharing"",""สบก!CT77"")"),0.0)</f>
        <v>0</v>
      </c>
      <c r="N294" s="202">
        <f>IFERROR(__xludf.DUMMYFUNCTION("IMPORTRANGE(""https://docs.google.com/spreadsheets/d/1Yj_ptqi66GCucihVvJfMjLAmec39IyEx_6qawtMGysU/edit?usp=sharing"",""สบก!CU77"")"),0.0)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IFERROR(__xludf.DUMMYFUNCTION("IMPORTRANGE(""https://docs.google.com/spreadsheets/d/1Yj_ptqi66GCucihVvJfMjLAmec39IyEx_6qawtMGysU/edit?usp=sharing"",""สบก!CP77"")"),0.0)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IFERROR(__xludf.DUMMYFUNCTION("IMPORTRANGE(""https://docs.google.com/spreadsheets/d/1Yj_ptqi66GCucihVvJfMjLAmec39IyEx_6qawtMGysU/edit?usp=sharing"",""สบก!CQ77"")"),0.0)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IFERROR(__xludf.DUMMYFUNCTION("IMPORTRANGE(""https://docs.google.com/spreadsheets/d/1Yj_ptqi66GCucihVvJfMjLAmec39IyEx_6qawtMGysU/edit?usp=sharing"",""สบก!CR77"")"),0.0)</f>
        <v>0</v>
      </c>
      <c r="M298" s="125"/>
      <c r="N298" s="115">
        <f>IFERROR(__xludf.DUMMYFUNCTION("IMPORTRANGE(""https://docs.google.com/spreadsheets/d/1Yj_ptqi66GCucihVvJfMjLAmec39IyEx_6qawtMGysU/edit?usp=sharing"",""สบก!CV77"")"),0.0)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IFERROR(__xludf.DUMMYFUNCTION("IMPORTRANGE(""https://docs.google.com/spreadsheets/d/1SX6NBoVAgQJ6U1MVXOaj8PK2l7WJ3RER9xtqwdhxkhw/edit?usp=sharing"",""สิงห์บุรี!J205"")"),0.0)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IFERROR(__xludf.DUMMYFUNCTION("IMPORTRANGE(""https://docs.google.com/spreadsheets/d/1SX6NBoVAgQJ6U1MVXOaj8PK2l7WJ3RER9xtqwdhxkhw/edit?usp=sharing"",""สิงห์บุรี!J206"")"),0.0)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IFERROR(__xludf.DUMMYFUNCTION("IMPORTRANGE(""https://docs.google.com/spreadsheets/d/1SX6NBoVAgQJ6U1MVXOaj8PK2l7WJ3RER9xtqwdhxkhw/edit?usp=sharing"",""สิงห์บุรี!J207"")"),0.0)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IFERROR(__xludf.DUMMYFUNCTION("IMPORTRANGE(""https://docs.google.com/spreadsheets/d/1SX6NBoVAgQJ6U1MVXOaj8PK2l7WJ3RER9xtqwdhxkhw/edit?usp=sharing"",""สิงห์บุรี!J208"")"),0.0)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IFERROR(__xludf.DUMMYFUNCTION("IMPORTRANGE(""https://docs.google.com/spreadsheets/d/1SX6NBoVAgQJ6U1MVXOaj8PK2l7WJ3RER9xtqwdhxkhw/edit?usp=sharing"",""สิงห์บุรี!I209"")"),0.0)</f>
        <v>0</v>
      </c>
      <c r="J304" s="238">
        <f>IFERROR(__xludf.DUMMYFUNCTION("IMPORTRANGE(""https://docs.google.com/spreadsheets/d/1SX6NBoVAgQJ6U1MVXOaj8PK2l7WJ3RER9xtqwdhxkhw/edit?usp=sharing"",""สิงห์บุรี!J209"")"),0.0)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IFERROR(__xludf.DUMMYFUNCTION("IMPORTRANGE(""https://docs.google.com/spreadsheets/d/1SX6NBoVAgQJ6U1MVXOaj8PK2l7WJ3RER9xtqwdhxkhw/edit?usp=sharing"",""สิงห์บุรี!I211"")"),0.0)</f>
        <v>0</v>
      </c>
      <c r="J306" s="238">
        <f>IFERROR(__xludf.DUMMYFUNCTION("IMPORTRANGE(""https://docs.google.com/spreadsheets/d/1SX6NBoVAgQJ6U1MVXOaj8PK2l7WJ3RER9xtqwdhxkhw/edit?usp=sharing"",""สิงห์บุรี!J211"")"),0.0)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IFERROR(__xludf.DUMMYFUNCTION("IMPORTRANGE(""https://docs.google.com/spreadsheets/d/1SX6NBoVAgQJ6U1MVXOaj8PK2l7WJ3RER9xtqwdhxkhw/edit?usp=sharing"",""สิงห์บุรี!J212"")"),0.0)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IFERROR(__xludf.DUMMYFUNCTION("IMPORTRANGE(""https://docs.google.com/spreadsheets/d/1SX6NBoVAgQJ6U1MVXOaj8PK2l7WJ3RER9xtqwdhxkhw/edit?usp=sharing"",""สิงห์บุรี!J213"")"),0.0)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IFERROR(__xludf.DUMMYFUNCTION("IMPORTRANGE(""https://docs.google.com/spreadsheets/d/1SX6NBoVAgQJ6U1MVXOaj8PK2l7WJ3RER9xtqwdhxkhw/edit?usp=sharing"",""สิงห์บุรี!I214"")"),0.0)</f>
        <v>0</v>
      </c>
      <c r="J309" s="366">
        <f>IFERROR(__xludf.DUMMYFUNCTION("IMPORTRANGE(""https://docs.google.com/spreadsheets/d/1SX6NBoVAgQJ6U1MVXOaj8PK2l7WJ3RER9xtqwdhxkhw/edit?usp=sharing"",""สิงห์บุรี!J214"")"),0.0)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IFERROR(__xludf.DUMMYFUNCTION("IMPORTRANGE(""https://docs.google.com/spreadsheets/d/1Yj_ptqi66GCucihVvJfMjLAmec39IyEx_6qawtMGysU/edit?usp=sharing"",""สบก!DC77"")"),0.0)</f>
        <v>0</v>
      </c>
      <c r="N314" s="202">
        <f>IFERROR(__xludf.DUMMYFUNCTION("IMPORTRANGE(""https://docs.google.com/spreadsheets/d/1Yj_ptqi66GCucihVvJfMjLAmec39IyEx_6qawtMGysU/edit?usp=sharing"",""สบก!DD77"")"),0.0)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IFERROR(__xludf.DUMMYFUNCTION("IMPORTRANGE(""https://docs.google.com/spreadsheets/d/1Yj_ptqi66GCucihVvJfMjLAmec39IyEx_6qawtMGysU/edit?usp=sharing"",""สบก!CY77"")"),0.0)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IFERROR(__xludf.DUMMYFUNCTION("IMPORTRANGE(""https://docs.google.com/spreadsheets/d/1Yj_ptqi66GCucihVvJfMjLAmec39IyEx_6qawtMGysU/edit?usp=sharing"",""สบก!CZ77"")"),0.0)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IFERROR(__xludf.DUMMYFUNCTION("IMPORTRANGE(""https://docs.google.com/spreadsheets/d/1Yj_ptqi66GCucihVvJfMjLAmec39IyEx_6qawtMGysU/edit?usp=sharing"",""สบก!DA77"")"),0.0)</f>
        <v>0</v>
      </c>
      <c r="M318" s="125"/>
      <c r="N318" s="115">
        <f>IFERROR(__xludf.DUMMYFUNCTION("IMPORTRANGE(""https://docs.google.com/spreadsheets/d/1Yj_ptqi66GCucihVvJfMjLAmec39IyEx_6qawtMGysU/edit?usp=sharing"",""สบก!DE77"")"),0.0)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IFERROR(__xludf.DUMMYFUNCTION("IMPORTRANGE(""https://docs.google.com/spreadsheets/d/1SX6NBoVAgQJ6U1MVXOaj8PK2l7WJ3RER9xtqwdhxkhw/edit?usp=sharing"",""สิงห์บุรี!J220"")"),0.0)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IFERROR(__xludf.DUMMYFUNCTION("IMPORTRANGE(""https://docs.google.com/spreadsheets/d/1SX6NBoVAgQJ6U1MVXOaj8PK2l7WJ3RER9xtqwdhxkhw/edit?usp=sharing"",""สิงห์บุรี!J221"")"),0.0)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IFERROR(__xludf.DUMMYFUNCTION("IMPORTRANGE(""https://docs.google.com/spreadsheets/d/1SX6NBoVAgQJ6U1MVXOaj8PK2l7WJ3RER9xtqwdhxkhw/edit?usp=sharing"",""สิงห์บุรี!J222"")"),0.0)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IFERROR(__xludf.DUMMYFUNCTION("IMPORTRANGE(""https://docs.google.com/spreadsheets/d/1SX6NBoVAgQJ6U1MVXOaj8PK2l7WJ3RER9xtqwdhxkhw/edit?usp=sharing"",""สิงห์บุรี!J223"")"),0.0)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IFERROR(__xludf.DUMMYFUNCTION("IMPORTRANGE(""https://docs.google.com/spreadsheets/d/1SX6NBoVAgQJ6U1MVXOaj8PK2l7WJ3RER9xtqwdhxkhw/edit?usp=sharing"",""สิงห์บุรี!I224"")"),0.0)</f>
        <v>0</v>
      </c>
      <c r="J324" s="238">
        <f>IFERROR(__xludf.DUMMYFUNCTION("IMPORTRANGE(""https://docs.google.com/spreadsheets/d/1SX6NBoVAgQJ6U1MVXOaj8PK2l7WJ3RER9xtqwdhxkhw/edit?usp=sharing"",""สิงห์บุรี!J224"")"),0.0)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IFERROR(__xludf.DUMMYFUNCTION("IMPORTRANGE(""https://docs.google.com/spreadsheets/d/1SX6NBoVAgQJ6U1MVXOaj8PK2l7WJ3RER9xtqwdhxkhw/edit?usp=sharing"",""สิงห์บุรี!J225"")"),0.0)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IFERROR(__xludf.DUMMYFUNCTION("IMPORTRANGE(""https://docs.google.com/spreadsheets/d/1SX6NBoVAgQJ6U1MVXOaj8PK2l7WJ3RER9xtqwdhxkhw/edit?usp=sharing"",""สิงห์บุรี!J226"")"),0.0)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IFERROR(__xludf.DUMMYFUNCTION("IMPORTRANGE(""https://docs.google.com/spreadsheets/d/1SX6NBoVAgQJ6U1MVXOaj8PK2l7WJ3RER9xtqwdhxkhw/edit?usp=sharing"",""สิงห์บุรี!I228"")"),0.0)</f>
        <v>0</v>
      </c>
      <c r="J328" s="372">
        <f>IFERROR(__xludf.DUMMYFUNCTION("IMPORTRANGE(""https://docs.google.com/spreadsheets/d/1SX6NBoVAgQJ6U1MVXOaj8PK2l7WJ3RER9xtqwdhxkhw/edit?usp=sharing"",""สิงห์บุรี!J228"")"),0.0)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684770</v>
      </c>
      <c r="M329" s="183">
        <f t="shared" si="99"/>
        <v>268890</v>
      </c>
      <c r="N329" s="183">
        <f t="shared" si="99"/>
        <v>315023</v>
      </c>
      <c r="O329" s="182">
        <f t="shared" ref="O329:O331" si="101">IF(L329&gt;0,N329*100/L329,0)</f>
        <v>46.00420579</v>
      </c>
      <c r="P329" s="182">
        <f t="shared" ref="P329:P331" si="102">IF(M329&gt;0,N329*100/M329,0)</f>
        <v>117.1568299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684770</v>
      </c>
      <c r="M331" s="188">
        <f t="shared" si="103"/>
        <v>268890</v>
      </c>
      <c r="N331" s="188">
        <f t="shared" si="103"/>
        <v>315023</v>
      </c>
      <c r="O331" s="187">
        <f t="shared" si="101"/>
        <v>46.00420579</v>
      </c>
      <c r="P331" s="187">
        <f t="shared" si="102"/>
        <v>117.1568299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537770</v>
      </c>
      <c r="M333" s="201">
        <f>IFERROR(__xludf.DUMMYFUNCTION("IMPORTRANGE(""https://docs.google.com/spreadsheets/d/1Yj_ptqi66GCucihVvJfMjLAmec39IyEx_6qawtMGysU/edit?usp=sharing"",""สบก!DL77"")"),268890.0)</f>
        <v>268890</v>
      </c>
      <c r="N333" s="202">
        <f>IFERROR(__xludf.DUMMYFUNCTION("IMPORTRANGE(""https://docs.google.com/spreadsheets/d/1Yj_ptqi66GCucihVvJfMjLAmec39IyEx_6qawtMGysU/edit?usp=sharing"",""สบก!DM77"")"),180023.0)</f>
        <v>180023</v>
      </c>
      <c r="O333" s="203">
        <f>IF(L333&gt;0,N333*100/L333,0)</f>
        <v>33.47583539</v>
      </c>
      <c r="P333" s="203">
        <f>IF(M333&gt;0,N333*100/M333,0)</f>
        <v>66.95042582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IFERROR(__xludf.DUMMYFUNCTION("IMPORTRANGE(""https://docs.google.com/spreadsheets/d/1Yj_ptqi66GCucihVvJfMjLAmec39IyEx_6qawtMGysU/edit?usp=sharing"",""สบก!DH77"")"),493800.0)</f>
        <v>493800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IFERROR(__xludf.DUMMYFUNCTION("IMPORTRANGE(""https://docs.google.com/spreadsheets/d/1Yj_ptqi66GCucihVvJfMjLAmec39IyEx_6qawtMGysU/edit?usp=sharing"",""สบก!DI77"")"),43970.0)</f>
        <v>43970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IFERROR(__xludf.DUMMYFUNCTION("IMPORTRANGE(""https://docs.google.com/spreadsheets/d/1Yj_ptqi66GCucihVvJfMjLAmec39IyEx_6qawtMGysU/edit?usp=sharing"",""สบก!DJ77"")"),147000.0)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IFERROR(__xludf.DUMMYFUNCTION("IMPORTRANGE(""https://docs.google.com/spreadsheets/d/1Yj_ptqi66GCucihVvJfMjLAmec39IyEx_6qawtMGysU/edit?usp=sharing"",""สบก!DN77"")"),135000.0)</f>
        <v>135000</v>
      </c>
      <c r="O337" s="125">
        <f>IF(L337&gt;0,N337*100/L337,0)</f>
        <v>91.83673469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IFERROR(__xludf.DUMMYFUNCTION("IMPORTRANGE(""https://docs.google.com/spreadsheets/d/1SX6NBoVAgQJ6U1MVXOaj8PK2l7WJ3RER9xtqwdhxkhw/edit?usp=sharing"",""สิงห์บุรี!I234"")"),0.0)</f>
        <v>0</v>
      </c>
      <c r="J339" s="222">
        <f>IFERROR(__xludf.DUMMYFUNCTION("IMPORTRANGE(""https://docs.google.com/spreadsheets/d/1SX6NBoVAgQJ6U1MVXOaj8PK2l7WJ3RER9xtqwdhxkhw/edit?usp=sharing"",""สิงห์บุรี!J234"")"),0.0)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IFERROR(__xludf.DUMMYFUNCTION("IMPORTRANGE(""https://docs.google.com/spreadsheets/d/1SX6NBoVAgQJ6U1MVXOaj8PK2l7WJ3RER9xtqwdhxkhw/edit?usp=sharing"",""สิงห์บุรี!I235"")"),0.0)</f>
        <v>0</v>
      </c>
      <c r="J340" s="222">
        <f>IFERROR(__xludf.DUMMYFUNCTION("IMPORTRANGE(""https://docs.google.com/spreadsheets/d/1SX6NBoVAgQJ6U1MVXOaj8PK2l7WJ3RER9xtqwdhxkhw/edit?usp=sharing"",""สิงห์บุรี!J235"")"),0.0)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IFERROR(__xludf.DUMMYFUNCTION("IMPORTRANGE(""https://docs.google.com/spreadsheets/d/1SX6NBoVAgQJ6U1MVXOaj8PK2l7WJ3RER9xtqwdhxkhw/edit?usp=sharing"",""สิงห์บุรี!I236"")"),0.0)</f>
        <v>0</v>
      </c>
      <c r="J341" s="222">
        <f>IFERROR(__xludf.DUMMYFUNCTION("IMPORTRANGE(""https://docs.google.com/spreadsheets/d/1SX6NBoVAgQJ6U1MVXOaj8PK2l7WJ3RER9xtqwdhxkhw/edit?usp=sharing"",""สิงห์บุรี!J236"")"),0.0)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IFERROR(__xludf.DUMMYFUNCTION("IMPORTRANGE(""https://docs.google.com/spreadsheets/d/1SX6NBoVAgQJ6U1MVXOaj8PK2l7WJ3RER9xtqwdhxkhw/edit?usp=sharing"",""สิงห์บุรี!I237"")"),0.0)</f>
        <v>0</v>
      </c>
      <c r="J342" s="222">
        <f>IFERROR(__xludf.DUMMYFUNCTION("IMPORTRANGE(""https://docs.google.com/spreadsheets/d/1SX6NBoVAgQJ6U1MVXOaj8PK2l7WJ3RER9xtqwdhxkhw/edit?usp=sharing"",""สิงห์บุรี!J237"")"),0.0)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IFERROR(__xludf.DUMMYFUNCTION("IMPORTRANGE(""https://docs.google.com/spreadsheets/d/1SX6NBoVAgQJ6U1MVXOaj8PK2l7WJ3RER9xtqwdhxkhw/edit?usp=sharing"",""สิงห์บุรี!I238"")"),0.0)</f>
        <v>0</v>
      </c>
      <c r="J343" s="222">
        <f>IFERROR(__xludf.DUMMYFUNCTION("IMPORTRANGE(""https://docs.google.com/spreadsheets/d/1SX6NBoVAgQJ6U1MVXOaj8PK2l7WJ3RER9xtqwdhxkhw/edit?usp=sharing"",""สิงห์บุรี!J238"")"),0.0)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IFERROR(__xludf.DUMMYFUNCTION("IMPORTRANGE(""https://docs.google.com/spreadsheets/d/1SX6NBoVAgQJ6U1MVXOaj8PK2l7WJ3RER9xtqwdhxkhw/edit?usp=sharing"",""สิงห์บุรี!I239"")"),0.0)</f>
        <v>0</v>
      </c>
      <c r="J344" s="222">
        <f>IFERROR(__xludf.DUMMYFUNCTION("IMPORTRANGE(""https://docs.google.com/spreadsheets/d/1SX6NBoVAgQJ6U1MVXOaj8PK2l7WJ3RER9xtqwdhxkhw/edit?usp=sharing"",""สิงห์บุรี!J239"")"),0.0)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IFERROR(__xludf.DUMMYFUNCTION("IMPORTRANGE(""https://docs.google.com/spreadsheets/d/1SX6NBoVAgQJ6U1MVXOaj8PK2l7WJ3RER9xtqwdhxkhw/edit?usp=sharing"",""สิงห์บุรี!I240"")"),0.0)</f>
        <v>0</v>
      </c>
      <c r="J345" s="222">
        <f>IFERROR(__xludf.DUMMYFUNCTION("IMPORTRANGE(""https://docs.google.com/spreadsheets/d/1SX6NBoVAgQJ6U1MVXOaj8PK2l7WJ3RER9xtqwdhxkhw/edit?usp=sharing"",""สิงห์บุรี!J240"")"),0.0)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IFERROR(__xludf.DUMMYFUNCTION("IMPORTRANGE(""https://docs.google.com/spreadsheets/d/1SX6NBoVAgQJ6U1MVXOaj8PK2l7WJ3RER9xtqwdhxkhw/edit?usp=sharing"",""สิงห์บุรี!I241"")"),0.0)</f>
        <v>0</v>
      </c>
      <c r="J346" s="222">
        <f>IFERROR(__xludf.DUMMYFUNCTION("IMPORTRANGE(""https://docs.google.com/spreadsheets/d/1SX6NBoVAgQJ6U1MVXOaj8PK2l7WJ3RER9xtqwdhxkhw/edit?usp=sharing"",""สิงห์บุรี!J241"")"),0.0)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IFERROR(__xludf.DUMMYFUNCTION("IMPORTRANGE(""https://docs.google.com/spreadsheets/d/1SX6NBoVAgQJ6U1MVXOaj8PK2l7WJ3RER9xtqwdhxkhw/edit?usp=sharing"",""สิงห์บุรี!L242"")"),319230.0)</f>
        <v>319230</v>
      </c>
      <c r="M347" s="391"/>
      <c r="N347" s="391">
        <f>IFERROR(__xludf.DUMMYFUNCTION("IMPORTRANGE(""https://docs.google.com/spreadsheets/d/1SX6NBoVAgQJ6U1MVXOaj8PK2l7WJ3RER9xtqwdhxkhw/edit?usp=sharing"",""สิงห์บุรี!M242"")"),57097.33)</f>
        <v>57097.33</v>
      </c>
      <c r="O347" s="391">
        <f>+IF(L347&gt;0,N347*100/L347,0)</f>
        <v>17.8859537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IFERROR(__xludf.DUMMYFUNCTION("IMPORTRANGE(""https://docs.google.com/spreadsheets/d/1SX6NBoVAgQJ6U1MVXOaj8PK2l7WJ3RER9xtqwdhxkhw/edit?usp=sharing"",""สิงห์บุรี!I244"")"),0.0)</f>
        <v>0</v>
      </c>
      <c r="J349" s="404">
        <f>IFERROR(__xludf.DUMMYFUNCTION("IMPORTRANGE(""https://docs.google.com/spreadsheets/d/1SX6NBoVAgQJ6U1MVXOaj8PK2l7WJ3RER9xtqwdhxkhw/edit?usp=sharing"",""สิงห์บุรี!J244"")"),0.0)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IFERROR(__xludf.DUMMYFUNCTION("IMPORTRANGE(""https://docs.google.com/spreadsheets/d/1SX6NBoVAgQJ6U1MVXOaj8PK2l7WJ3RER9xtqwdhxkhw/edit?usp=sharing"",""สิงห์บุรี!L244"")"),0.0)</f>
        <v>0</v>
      </c>
      <c r="M349" s="406"/>
      <c r="N349" s="406">
        <f>IFERROR(__xludf.DUMMYFUNCTION("IMPORTRANGE(""https://docs.google.com/spreadsheets/d/1SX6NBoVAgQJ6U1MVXOaj8PK2l7WJ3RER9xtqwdhxkhw/edit?usp=sharing"",""สิงห์บุรี!M244"")"),0.0)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IFERROR(__xludf.DUMMYFUNCTION("IMPORTRANGE(""https://docs.google.com/spreadsheets/d/1SX6NBoVAgQJ6U1MVXOaj8PK2l7WJ3RER9xtqwdhxkhw/edit?usp=sharing"",""สิงห์บุรี!I245"")"),0.0)</f>
        <v>0</v>
      </c>
      <c r="J350" s="404">
        <f>IFERROR(__xludf.DUMMYFUNCTION("IMPORTRANGE(""https://docs.google.com/spreadsheets/d/1SX6NBoVAgQJ6U1MVXOaj8PK2l7WJ3RER9xtqwdhxkhw/edit?usp=sharing"",""สิงห์บุรี!J245"")"),0.0)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IFERROR(__xludf.DUMMYFUNCTION("IMPORTRANGE(""https://docs.google.com/spreadsheets/d/1SX6NBoVAgQJ6U1MVXOaj8PK2l7WJ3RER9xtqwdhxkhw/edit?usp=sharing"",""สิงห์บุรี!L246"")"),0.0)</f>
        <v>0</v>
      </c>
      <c r="M351" s="197"/>
      <c r="N351" s="197">
        <f>IFERROR(__xludf.DUMMYFUNCTION("IMPORTRANGE(""https://docs.google.com/spreadsheets/d/1SX6NBoVAgQJ6U1MVXOaj8PK2l7WJ3RER9xtqwdhxkhw/edit?usp=sharing"",""สิงห์บุรี!M246"")"),0.0)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IFERROR(__xludf.DUMMYFUNCTION("IMPORTRANGE(""https://docs.google.com/spreadsheets/d/1SX6NBoVAgQJ6U1MVXOaj8PK2l7WJ3RER9xtqwdhxkhw/edit?usp=sharing"",""สิงห์บุรี!L247"")"),0.0)</f>
        <v>0</v>
      </c>
      <c r="M352" s="198"/>
      <c r="N352" s="197">
        <f>IFERROR(__xludf.DUMMYFUNCTION("IMPORTRANGE(""https://docs.google.com/spreadsheets/d/1SX6NBoVAgQJ6U1MVXOaj8PK2l7WJ3RER9xtqwdhxkhw/edit?usp=sharing"",""สิงห์บุรี!M247"")"),0.0)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IFERROR(__xludf.DUMMYFUNCTION("IMPORTRANGE(""https://docs.google.com/spreadsheets/d/1SX6NBoVAgQJ6U1MVXOaj8PK2l7WJ3RER9xtqwdhxkhw/edit?usp=sharing"",""สิงห์บุรี!L248"")"),0.0)</f>
        <v>0</v>
      </c>
      <c r="M353" s="203"/>
      <c r="N353" s="203">
        <f>IFERROR(__xludf.DUMMYFUNCTION("IMPORTRANGE(""https://docs.google.com/spreadsheets/d/1SX6NBoVAgQJ6U1MVXOaj8PK2l7WJ3RER9xtqwdhxkhw/edit?usp=sharing"",""สิงห์บุรี!M248"")"),0.0)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IFERROR(__xludf.DUMMYFUNCTION("IMPORTRANGE(""https://docs.google.com/spreadsheets/d/1SX6NBoVAgQJ6U1MVXOaj8PK2l7WJ3RER9xtqwdhxkhw/edit?usp=sharing"",""สิงห์บุรี!L249"")"),0.0)</f>
        <v>0</v>
      </c>
      <c r="M354" s="203"/>
      <c r="N354" s="200">
        <f>IFERROR(__xludf.DUMMYFUNCTION("IMPORTRANGE(""https://docs.google.com/spreadsheets/d/1SX6NBoVAgQJ6U1MVXOaj8PK2l7WJ3RER9xtqwdhxkhw/edit?usp=sharing"",""สิงห์บุรี!M249"")"),0.0)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IFERROR(__xludf.DUMMYFUNCTION("IMPORTRANGE(""https://docs.google.com/spreadsheets/d/1SX6NBoVAgQJ6U1MVXOaj8PK2l7WJ3RER9xtqwdhxkhw/edit?usp=sharing"",""สิงห์บุรี!M250"")"),0.0)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IFERROR(__xludf.DUMMYFUNCTION("IMPORTRANGE(""https://docs.google.com/spreadsheets/d/1SX6NBoVAgQJ6U1MVXOaj8PK2l7WJ3RER9xtqwdhxkhw/edit?usp=sharing"",""สิงห์บุรี!M251"")"),0.0)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IFERROR(__xludf.DUMMYFUNCTION("IMPORTRANGE(""https://docs.google.com/spreadsheets/d/1SX6NBoVAgQJ6U1MVXOaj8PK2l7WJ3RER9xtqwdhxkhw/edit?usp=sharing"",""สิงห์บุรี!M252"")"),0.0)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IFERROR(__xludf.DUMMYFUNCTION("IMPORTRANGE(""https://docs.google.com/spreadsheets/d/1SX6NBoVAgQJ6U1MVXOaj8PK2l7WJ3RER9xtqwdhxkhw/edit?usp=sharing"",""สิงห์บุรี!M253"")"),0.0)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IFERROR(__xludf.DUMMYFUNCTION("IMPORTRANGE(""https://docs.google.com/spreadsheets/d/1SX6NBoVAgQJ6U1MVXOaj8PK2l7WJ3RER9xtqwdhxkhw/edit?usp=sharing"",""สิงห์บุรี!J255"")"),0.0)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IFERROR(__xludf.DUMMYFUNCTION("IMPORTRANGE(""https://docs.google.com/spreadsheets/d/1SX6NBoVAgQJ6U1MVXOaj8PK2l7WJ3RER9xtqwdhxkhw/edit?usp=sharing"",""สิงห์บุรี!J256"")"),0.0)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IFERROR(__xludf.DUMMYFUNCTION("IMPORTRANGE(""https://docs.google.com/spreadsheets/d/1SX6NBoVAgQJ6U1MVXOaj8PK2l7WJ3RER9xtqwdhxkhw/edit?usp=sharing"",""สิงห์บุรี!J257"")"),0.0)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IFERROR(__xludf.DUMMYFUNCTION("IMPORTRANGE(""https://docs.google.com/spreadsheets/d/1SX6NBoVAgQJ6U1MVXOaj8PK2l7WJ3RER9xtqwdhxkhw/edit?usp=sharing"",""สิงห์บุรี!J258"")"),0.0)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IFERROR(__xludf.DUMMYFUNCTION("IMPORTRANGE(""https://docs.google.com/spreadsheets/d/1SX6NBoVAgQJ6U1MVXOaj8PK2l7WJ3RER9xtqwdhxkhw/edit?usp=sharing"",""สิงห์บุรี!J166"")"),0.0)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IFERROR(__xludf.DUMMYFUNCTION("IMPORTRANGE(""https://docs.google.com/spreadsheets/d/1SX6NBoVAgQJ6U1MVXOaj8PK2l7WJ3RER9xtqwdhxkhw/edit?usp=sharing"",""สิงห์บุรี!J166"")"),0.0)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IFERROR(__xludf.DUMMYFUNCTION("IMPORTRANGE(""https://docs.google.com/spreadsheets/d/1SX6NBoVAgQJ6U1MVXOaj8PK2l7WJ3RER9xtqwdhxkhw/edit?usp=sharing"",""สิงห์บุรี!J166"")"),0.0)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IFERROR(__xludf.DUMMYFUNCTION("IMPORTRANGE(""https://docs.google.com/spreadsheets/d/1SX6NBoVAgQJ6U1MVXOaj8PK2l7WJ3RER9xtqwdhxkhw/edit?usp=sharing"",""สิงห์บุรี!J166"")"),0.0)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IFERROR(__xludf.DUMMYFUNCTION("IMPORTRANGE(""https://docs.google.com/spreadsheets/d/1SX6NBoVAgQJ6U1MVXOaj8PK2l7WJ3RER9xtqwdhxkhw/edit?usp=sharing"",""สิงห์บุรี!I263"")"),0.0)</f>
        <v>0</v>
      </c>
      <c r="J368" s="222">
        <f>IFERROR(__xludf.DUMMYFUNCTION("IMPORTRANGE(""https://docs.google.com/spreadsheets/d/1SX6NBoVAgQJ6U1MVXOaj8PK2l7WJ3RER9xtqwdhxkhw/edit?usp=sharing"",""สิงห์บุรี!J263"")"),0.0)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IFERROR(__xludf.DUMMYFUNCTION("IMPORTRANGE(""https://docs.google.com/spreadsheets/d/1SX6NBoVAgQJ6U1MVXOaj8PK2l7WJ3RER9xtqwdhxkhw/edit?usp=sharing"",""สิงห์บุรี!I164"")"),0.0)</f>
        <v>0</v>
      </c>
      <c r="J369" s="238">
        <f>IFERROR(__xludf.DUMMYFUNCTION("IMPORTRANGE(""https://docs.google.com/spreadsheets/d/1SX6NBoVAgQJ6U1MVXOaj8PK2l7WJ3RER9xtqwdhxkhw/edit?usp=sharing"",""สิงห์บุรี!J164"")"),0.0)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IFERROR(__xludf.DUMMYFUNCTION("IMPORTRANGE(""https://docs.google.com/spreadsheets/d/1SX6NBoVAgQJ6U1MVXOaj8PK2l7WJ3RER9xtqwdhxkhw/edit?usp=sharing"",""สิงห์บุรี!I265"")"),0.0)</f>
        <v>0</v>
      </c>
      <c r="J370" s="238">
        <f>IFERROR(__xludf.DUMMYFUNCTION("IMPORTRANGE(""https://docs.google.com/spreadsheets/d/1SX6NBoVAgQJ6U1MVXOaj8PK2l7WJ3RER9xtqwdhxkhw/edit?usp=sharing"",""สิงห์บุรี!J265"")"),0.0)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IFERROR(__xludf.DUMMYFUNCTION("IMPORTRANGE(""https://docs.google.com/spreadsheets/d/1SX6NBoVAgQJ6U1MVXOaj8PK2l7WJ3RER9xtqwdhxkhw/edit?usp=sharing"",""สิงห์บุรี!I164"")"),0.0)</f>
        <v>0</v>
      </c>
      <c r="J371" s="223">
        <f>IFERROR(__xludf.DUMMYFUNCTION("IMPORTRANGE(""https://docs.google.com/spreadsheets/d/1SX6NBoVAgQJ6U1MVXOaj8PK2l7WJ3RER9xtqwdhxkhw/edit?usp=sharing"",""สิงห์บุรี!J164"")"),0.0)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IFERROR(__xludf.DUMMYFUNCTION("IMPORTRANGE(""https://docs.google.com/spreadsheets/d/1SX6NBoVAgQJ6U1MVXOaj8PK2l7WJ3RER9xtqwdhxkhw/edit?usp=sharing"",""สิงห์บุรี!I267"")"),0.0)</f>
        <v>0</v>
      </c>
      <c r="J372" s="223">
        <f>IFERROR(__xludf.DUMMYFUNCTION("IMPORTRANGE(""https://docs.google.com/spreadsheets/d/1SX6NBoVAgQJ6U1MVXOaj8PK2l7WJ3RER9xtqwdhxkhw/edit?usp=sharing"",""สิงห์บุรี!J267"")"),0.0)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IFERROR(__xludf.DUMMYFUNCTION("IMPORTRANGE(""https://docs.google.com/spreadsheets/d/1SX6NBoVAgQJ6U1MVXOaj8PK2l7WJ3RER9xtqwdhxkhw/edit?usp=sharing"",""สิงห์บุรี!I164"")"),0.0)</f>
        <v>0</v>
      </c>
      <c r="J373" s="238">
        <f>IFERROR(__xludf.DUMMYFUNCTION("IMPORTRANGE(""https://docs.google.com/spreadsheets/d/1SX6NBoVAgQJ6U1MVXOaj8PK2l7WJ3RER9xtqwdhxkhw/edit?usp=sharing"",""สิงห์บุรี!J164"")"),0.0)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IFERROR(__xludf.DUMMYFUNCTION("IMPORTRANGE(""https://docs.google.com/spreadsheets/d/1SX6NBoVAgQJ6U1MVXOaj8PK2l7WJ3RER9xtqwdhxkhw/edit?usp=sharing"",""สิงห์บุรี!I164"")"),0.0)</f>
        <v>0</v>
      </c>
      <c r="J374" s="222">
        <f>IFERROR(__xludf.DUMMYFUNCTION("IMPORTRANGE(""https://docs.google.com/spreadsheets/d/1SX6NBoVAgQJ6U1MVXOaj8PK2l7WJ3RER9xtqwdhxkhw/edit?usp=sharing"",""สิงห์บุรี!J164"")"),0.0)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IFERROR(__xludf.DUMMYFUNCTION("IMPORTRANGE(""https://docs.google.com/spreadsheets/d/1SX6NBoVAgQJ6U1MVXOaj8PK2l7WJ3RER9xtqwdhxkhw/edit?usp=sharing"",""สิงห์บุรี!I270"")"),0.0)</f>
        <v>0</v>
      </c>
      <c r="J375" s="222">
        <f>IFERROR(__xludf.DUMMYFUNCTION("IMPORTRANGE(""https://docs.google.com/spreadsheets/d/1SX6NBoVAgQJ6U1MVXOaj8PK2l7WJ3RER9xtqwdhxkhw/edit?usp=sharing"",""สิงห์บุรี!J270"")"),0.0)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IFERROR(__xludf.DUMMYFUNCTION("IMPORTRANGE(""https://docs.google.com/spreadsheets/d/1SX6NBoVAgQJ6U1MVXOaj8PK2l7WJ3RER9xtqwdhxkhw/edit?usp=sharing"",""สิงห์บุรี!I271"")"),0.0)</f>
        <v>0</v>
      </c>
      <c r="J376" s="223">
        <f>IFERROR(__xludf.DUMMYFUNCTION("IMPORTRANGE(""https://docs.google.com/spreadsheets/d/1SX6NBoVAgQJ6U1MVXOaj8PK2l7WJ3RER9xtqwdhxkhw/edit?usp=sharing"",""สิงห์บุรี!J271"")"),0.0)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IFERROR(__xludf.DUMMYFUNCTION("IMPORTRANGE(""https://docs.google.com/spreadsheets/d/1SX6NBoVAgQJ6U1MVXOaj8PK2l7WJ3RER9xtqwdhxkhw/edit?usp=sharing"",""สิงห์บุรี!I272"")"),0.0)</f>
        <v>0</v>
      </c>
      <c r="J377" s="238">
        <f>IFERROR(__xludf.DUMMYFUNCTION("IMPORTRANGE(""https://docs.google.com/spreadsheets/d/1SX6NBoVAgQJ6U1MVXOaj8PK2l7WJ3RER9xtqwdhxkhw/edit?usp=sharing"",""สิงห์บุรี!J272"")"),0.0)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IFERROR(__xludf.DUMMYFUNCTION("IMPORTRANGE(""https://docs.google.com/spreadsheets/d/1SX6NBoVAgQJ6U1MVXOaj8PK2l7WJ3RER9xtqwdhxkhw/edit?usp=sharing"",""สิงห์บุรี!J273"")"),0.0)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IFERROR(__xludf.DUMMYFUNCTION("IMPORTRANGE(""https://docs.google.com/spreadsheets/d/1SX6NBoVAgQJ6U1MVXOaj8PK2l7WJ3RER9xtqwdhxkhw/edit?usp=sharing"",""สิงห์บุรี!J274"")"),0.0)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IFERROR(__xludf.DUMMYFUNCTION("IMPORTRANGE(""https://docs.google.com/spreadsheets/d/1SX6NBoVAgQJ6U1MVXOaj8PK2l7WJ3RER9xtqwdhxkhw/edit?usp=sharing"",""สิงห์บุรี!I275"")"),0.0)</f>
        <v>0</v>
      </c>
      <c r="J380" s="404">
        <f>IFERROR(__xludf.DUMMYFUNCTION("IMPORTRANGE(""https://docs.google.com/spreadsheets/d/1SX6NBoVAgQJ6U1MVXOaj8PK2l7WJ3RER9xtqwdhxkhw/edit?usp=sharing"",""สิงห์บุรี!J275"")"),0.0)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IFERROR(__xludf.DUMMYFUNCTION("IMPORTRANGE(""https://docs.google.com/spreadsheets/d/1SX6NBoVAgQJ6U1MVXOaj8PK2l7WJ3RER9xtqwdhxkhw/edit?usp=sharing"",""สิงห์บุรี!L275"")"),0.0)</f>
        <v>0</v>
      </c>
      <c r="M380" s="406"/>
      <c r="N380" s="406">
        <f>IFERROR(__xludf.DUMMYFUNCTION("IMPORTRANGE(""https://docs.google.com/spreadsheets/d/1SX6NBoVAgQJ6U1MVXOaj8PK2l7WJ3RER9xtqwdhxkhw/edit?usp=sharing"",""สิงห์บุรี!M275"")"),0.0)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IFERROR(__xludf.DUMMYFUNCTION("IMPORTRANGE(""https://docs.google.com/spreadsheets/d/1SX6NBoVAgQJ6U1MVXOaj8PK2l7WJ3RER9xtqwdhxkhw/edit?usp=sharing"",""สิงห์บุรี!I276"")"),0.0)</f>
        <v>0</v>
      </c>
      <c r="J381" s="404">
        <f>IFERROR(__xludf.DUMMYFUNCTION("IMPORTRANGE(""https://docs.google.com/spreadsheets/d/1SX6NBoVAgQJ6U1MVXOaj8PK2l7WJ3RER9xtqwdhxkhw/edit?usp=sharing"",""สิงห์บุรี!J276"")"),0.0)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IFERROR(__xludf.DUMMYFUNCTION("IMPORTRANGE(""https://docs.google.com/spreadsheets/d/1SX6NBoVAgQJ6U1MVXOaj8PK2l7WJ3RER9xtqwdhxkhw/edit?usp=sharing"",""สิงห์บุรี!L277"")"),0.0)</f>
        <v>0</v>
      </c>
      <c r="M382" s="197"/>
      <c r="N382" s="197">
        <f>IFERROR(__xludf.DUMMYFUNCTION("IMPORTRANGE(""https://docs.google.com/spreadsheets/d/1SX6NBoVAgQJ6U1MVXOaj8PK2l7WJ3RER9xtqwdhxkhw/edit?usp=sharing"",""สิงห์บุรี!M277"")"),0.0)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IFERROR(__xludf.DUMMYFUNCTION("IMPORTRANGE(""https://docs.google.com/spreadsheets/d/1SX6NBoVAgQJ6U1MVXOaj8PK2l7WJ3RER9xtqwdhxkhw/edit?usp=sharing"",""สิงห์บุรี!L278"")"),0.0)</f>
        <v>0</v>
      </c>
      <c r="M383" s="198"/>
      <c r="N383" s="198">
        <f>IFERROR(__xludf.DUMMYFUNCTION("IMPORTRANGE(""https://docs.google.com/spreadsheets/d/1SX6NBoVAgQJ6U1MVXOaj8PK2l7WJ3RER9xtqwdhxkhw/edit?usp=sharing"",""สิงห์บุรี!M278"")"),0.0)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IFERROR(__xludf.DUMMYFUNCTION("IMPORTRANGE(""https://docs.google.com/spreadsheets/d/1SX6NBoVAgQJ6U1MVXOaj8PK2l7WJ3RER9xtqwdhxkhw/edit?usp=sharing"",""สิงห์บุรี!L279"")"),0.0)</f>
        <v>0</v>
      </c>
      <c r="M384" s="203"/>
      <c r="N384" s="203">
        <f>IFERROR(__xludf.DUMMYFUNCTION("IMPORTRANGE(""https://docs.google.com/spreadsheets/d/1SX6NBoVAgQJ6U1MVXOaj8PK2l7WJ3RER9xtqwdhxkhw/edit?usp=sharing"",""สิงห์บุรี!M279"")"),0.0)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IFERROR(__xludf.DUMMYFUNCTION("IMPORTRANGE(""https://docs.google.com/spreadsheets/d/1SX6NBoVAgQJ6U1MVXOaj8PK2l7WJ3RER9xtqwdhxkhw/edit?usp=sharing"",""สิงห์บุรี!L280"")"),0.0)</f>
        <v>0</v>
      </c>
      <c r="M385" s="203"/>
      <c r="N385" s="200">
        <f>IFERROR(__xludf.DUMMYFUNCTION("IMPORTRANGE(""https://docs.google.com/spreadsheets/d/1SX6NBoVAgQJ6U1MVXOaj8PK2l7WJ3RER9xtqwdhxkhw/edit?usp=sharing"",""สิงห์บุรี!M280"")"),0.0)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IFERROR(__xludf.DUMMYFUNCTION("IMPORTRANGE(""https://docs.google.com/spreadsheets/d/1SX6NBoVAgQJ6U1MVXOaj8PK2l7WJ3RER9xtqwdhxkhw/edit?usp=sharing"",""สิงห์บุรี!M281"")"),0.0)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IFERROR(__xludf.DUMMYFUNCTION("IMPORTRANGE(""https://docs.google.com/spreadsheets/d/1SX6NBoVAgQJ6U1MVXOaj8PK2l7WJ3RER9xtqwdhxkhw/edit?usp=sharing"",""สิงห์บุรี!M282"")"),0.0)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IFERROR(__xludf.DUMMYFUNCTION("IMPORTRANGE(""https://docs.google.com/spreadsheets/d/1SX6NBoVAgQJ6U1MVXOaj8PK2l7WJ3RER9xtqwdhxkhw/edit?usp=sharing"",""สิงห์บุรี!M283"")"),0.0)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IFERROR(__xludf.DUMMYFUNCTION("IMPORTRANGE(""https://docs.google.com/spreadsheets/d/1SX6NBoVAgQJ6U1MVXOaj8PK2l7WJ3RER9xtqwdhxkhw/edit?usp=sharing"",""สิงห์บุรี!M284"")"),0.0)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IFERROR(__xludf.DUMMYFUNCTION("IMPORTRANGE(""https://docs.google.com/spreadsheets/d/1SX6NBoVAgQJ6U1MVXOaj8PK2l7WJ3RER9xtqwdhxkhw/edit?usp=sharing"",""สิงห์บุรี!J286"")"),0.0)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IFERROR(__xludf.DUMMYFUNCTION("IMPORTRANGE(""https://docs.google.com/spreadsheets/d/1SX6NBoVAgQJ6U1MVXOaj8PK2l7WJ3RER9xtqwdhxkhw/edit?usp=sharing"",""สิงห์บุรี!J287"")"),0.0)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IFERROR(__xludf.DUMMYFUNCTION("IMPORTRANGE(""https://docs.google.com/spreadsheets/d/1SX6NBoVAgQJ6U1MVXOaj8PK2l7WJ3RER9xtqwdhxkhw/edit?usp=sharing"",""สิงห์บุรี!J288"")"),0.0)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IFERROR(__xludf.DUMMYFUNCTION("IMPORTRANGE(""https://docs.google.com/spreadsheets/d/1SX6NBoVAgQJ6U1MVXOaj8PK2l7WJ3RER9xtqwdhxkhw/edit?usp=sharing"",""สิงห์บุรี!J289"")"),0.0)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IFERROR(__xludf.DUMMYFUNCTION("IMPORTRANGE(""https://docs.google.com/spreadsheets/d/1SX6NBoVAgQJ6U1MVXOaj8PK2l7WJ3RER9xtqwdhxkhw/edit?usp=sharing"",""สิงห์บุรี!I291"")"),0.0)</f>
        <v>0</v>
      </c>
      <c r="J396" s="232">
        <f>IFERROR(__xludf.DUMMYFUNCTION("IMPORTRANGE(""https://docs.google.com/spreadsheets/d/1SX6NBoVAgQJ6U1MVXOaj8PK2l7WJ3RER9xtqwdhxkhw/edit?usp=sharing"",""สิงห์บุรี!J291"")"),0.0)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IFERROR(__xludf.DUMMYFUNCTION("IMPORTRANGE(""https://docs.google.com/spreadsheets/d/1SX6NBoVAgQJ6U1MVXOaj8PK2l7WJ3RER9xtqwdhxkhw/edit?usp=sharing"",""สิงห์บุรี!I292"")"),0.0)</f>
        <v>0</v>
      </c>
      <c r="J397" s="232">
        <f>IFERROR(__xludf.DUMMYFUNCTION("IMPORTRANGE(""https://docs.google.com/spreadsheets/d/1SX6NBoVAgQJ6U1MVXOaj8PK2l7WJ3RER9xtqwdhxkhw/edit?usp=sharing"",""สิงห์บุรี!J292"")"),0.0)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IFERROR(__xludf.DUMMYFUNCTION("IMPORTRANGE(""https://docs.google.com/spreadsheets/d/1SX6NBoVAgQJ6U1MVXOaj8PK2l7WJ3RER9xtqwdhxkhw/edit?usp=sharing"",""สิงห์บุรี!I293"")"),0.0)</f>
        <v>0</v>
      </c>
      <c r="J398" s="232">
        <f>IFERROR(__xludf.DUMMYFUNCTION("IMPORTRANGE(""https://docs.google.com/spreadsheets/d/1SX6NBoVAgQJ6U1MVXOaj8PK2l7WJ3RER9xtqwdhxkhw/edit?usp=sharing"",""สิงห์บุรี!J293"")"),0.0)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IFERROR(__xludf.DUMMYFUNCTION("IMPORTRANGE(""https://docs.google.com/spreadsheets/d/1SX6NBoVAgQJ6U1MVXOaj8PK2l7WJ3RER9xtqwdhxkhw/edit?usp=sharing"",""สิงห์บุรี!J294"")"),0.0)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IFERROR(__xludf.DUMMYFUNCTION("IMPORTRANGE(""https://docs.google.com/spreadsheets/d/1SX6NBoVAgQJ6U1MVXOaj8PK2l7WJ3RER9xtqwdhxkhw/edit?usp=sharing"",""สิงห์บุรี!J295"")"),0.0)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IFERROR(__xludf.DUMMYFUNCTION("IMPORTRANGE(""https://docs.google.com/spreadsheets/d/1SX6NBoVAgQJ6U1MVXOaj8PK2l7WJ3RER9xtqwdhxkhw/edit?usp=sharing"",""สิงห์บุรี!I296"")"),87.0)</f>
        <v>87</v>
      </c>
      <c r="J401" s="404">
        <f>IFERROR(__xludf.DUMMYFUNCTION("IMPORTRANGE(""https://docs.google.com/spreadsheets/d/1SX6NBoVAgQJ6U1MVXOaj8PK2l7WJ3RER9xtqwdhxkhw/edit?usp=sharing"",""สิงห์บุรี!J296"")"),0.0)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IFERROR(__xludf.DUMMYFUNCTION("IMPORTRANGE(""https://docs.google.com/spreadsheets/d/1SX6NBoVAgQJ6U1MVXOaj8PK2l7WJ3RER9xtqwdhxkhw/edit?usp=sharing"",""สิงห์บุรี!L296"")"),98950.0)</f>
        <v>98950</v>
      </c>
      <c r="M401" s="406"/>
      <c r="N401" s="406">
        <f>IFERROR(__xludf.DUMMYFUNCTION("IMPORTRANGE(""https://docs.google.com/spreadsheets/d/1SX6NBoVAgQJ6U1MVXOaj8PK2l7WJ3RER9xtqwdhxkhw/edit?usp=sharing"",""สิงห์บุรี!M296"")"),1000.0)</f>
        <v>1000</v>
      </c>
      <c r="O401" s="406">
        <f>+IF(L401&gt;0,N401*100/L401,0)</f>
        <v>1.01061142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IFERROR(__xludf.DUMMYFUNCTION("IMPORTRANGE(""https://docs.google.com/spreadsheets/d/1SX6NBoVAgQJ6U1MVXOaj8PK2l7WJ3RER9xtqwdhxkhw/edit?usp=sharing"",""สิงห์บุรี!I297"")"),29.0)</f>
        <v>29</v>
      </c>
      <c r="J402" s="404">
        <f>IFERROR(__xludf.DUMMYFUNCTION("IMPORTRANGE(""https://docs.google.com/spreadsheets/d/1SX6NBoVAgQJ6U1MVXOaj8PK2l7WJ3RER9xtqwdhxkhw/edit?usp=sharing"",""สิงห์บุรี!J297"")"),0.0)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IFERROR(__xludf.DUMMYFUNCTION("IMPORTRANGE(""https://docs.google.com/spreadsheets/d/1SX6NBoVAgQJ6U1MVXOaj8PK2l7WJ3RER9xtqwdhxkhw/edit?usp=sharing"",""สิงห์บุรี!L298"")"),0.0)</f>
        <v>0</v>
      </c>
      <c r="M403" s="197"/>
      <c r="N403" s="203">
        <f>IFERROR(__xludf.DUMMYFUNCTION("IMPORTRANGE(""https://docs.google.com/spreadsheets/d/1SX6NBoVAgQJ6U1MVXOaj8PK2l7WJ3RER9xtqwdhxkhw/edit?usp=sharing"",""สิงห์บุรี!M298"")"),0.0)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IFERROR(__xludf.DUMMYFUNCTION("IMPORTRANGE(""https://docs.google.com/spreadsheets/d/1SX6NBoVAgQJ6U1MVXOaj8PK2l7WJ3RER9xtqwdhxkhw/edit?usp=sharing"",""สิงห์บุรี!L299"")"),98950.0)</f>
        <v>98950</v>
      </c>
      <c r="M404" s="198"/>
      <c r="N404" s="203">
        <f>IFERROR(__xludf.DUMMYFUNCTION("IMPORTRANGE(""https://docs.google.com/spreadsheets/d/1SX6NBoVAgQJ6U1MVXOaj8PK2l7WJ3RER9xtqwdhxkhw/edit?usp=sharing"",""สิงห์บุรี!M299"")"),1000.0)</f>
        <v>1000</v>
      </c>
      <c r="O404" s="203">
        <f t="shared" si="113"/>
        <v>1.01061142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IFERROR(__xludf.DUMMYFUNCTION("IMPORTRANGE(""https://docs.google.com/spreadsheets/d/1SX6NBoVAgQJ6U1MVXOaj8PK2l7WJ3RER9xtqwdhxkhw/edit?usp=sharing"",""สิงห์บุรี!L300"")"),0.0)</f>
        <v>0</v>
      </c>
      <c r="M405" s="203"/>
      <c r="N405" s="203">
        <f>IFERROR(__xludf.DUMMYFUNCTION("IMPORTRANGE(""https://docs.google.com/spreadsheets/d/1SX6NBoVAgQJ6U1MVXOaj8PK2l7WJ3RER9xtqwdhxkhw/edit?usp=sharing"",""สิงห์บุรี!M300"")"),0.0)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IFERROR(__xludf.DUMMYFUNCTION("IMPORTRANGE(""https://docs.google.com/spreadsheets/d/1SX6NBoVAgQJ6U1MVXOaj8PK2l7WJ3RER9xtqwdhxkhw/edit?usp=sharing"",""สิงห์บุรี!L301"")"),98950.0)</f>
        <v>98950</v>
      </c>
      <c r="M406" s="203"/>
      <c r="N406" s="203">
        <f>IFERROR(__xludf.DUMMYFUNCTION("IMPORTRANGE(""https://docs.google.com/spreadsheets/d/1SX6NBoVAgQJ6U1MVXOaj8PK2l7WJ3RER9xtqwdhxkhw/edit?usp=sharing"",""สิงห์บุรี!M301"")"),1000.0)</f>
        <v>1000</v>
      </c>
      <c r="O406" s="203">
        <f t="shared" si="113"/>
        <v>1.01061142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IFERROR(__xludf.DUMMYFUNCTION("IMPORTRANGE(""https://docs.google.com/spreadsheets/d/1SX6NBoVAgQJ6U1MVXOaj8PK2l7WJ3RER9xtqwdhxkhw/edit?usp=sharing"",""สิงห์บุรี!M302"")"),1000.0)</f>
        <v>1000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IFERROR(__xludf.DUMMYFUNCTION("IMPORTRANGE(""https://docs.google.com/spreadsheets/d/1SX6NBoVAgQJ6U1MVXOaj8PK2l7WJ3RER9xtqwdhxkhw/edit?usp=sharing"",""สิงห์บุรี!M303"")"),0.0)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IFERROR(__xludf.DUMMYFUNCTION("IMPORTRANGE(""https://docs.google.com/spreadsheets/d/1SX6NBoVAgQJ6U1MVXOaj8PK2l7WJ3RER9xtqwdhxkhw/edit?usp=sharing"",""สิงห์บุรี!M304"")"),0.0)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IFERROR(__xludf.DUMMYFUNCTION("IMPORTRANGE(""https://docs.google.com/spreadsheets/d/1SX6NBoVAgQJ6U1MVXOaj8PK2l7WJ3RER9xtqwdhxkhw/edit?usp=sharing"",""สิงห์บุรี!M305"")"),0.0)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 t="str">
        <f>IFERROR(__xludf.DUMMYFUNCTION("IMPORTRANGE(""https://docs.google.com/spreadsheets/d/1SX6NBoVAgQJ6U1MVXOaj8PK2l7WJ3RER9xtqwdhxkhw/edit?usp=sharing"",""สิงห์บุรี!J307"")"),"")</f>
        <v/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IFERROR(__xludf.DUMMYFUNCTION("IMPORTRANGE(""https://docs.google.com/spreadsheets/d/1SX6NBoVAgQJ6U1MVXOaj8PK2l7WJ3RER9xtqwdhxkhw/edit?usp=sharing"",""สิงห์บุรี!J308"")"),1.0)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IFERROR(__xludf.DUMMYFUNCTION("IMPORTRANGE(""https://docs.google.com/spreadsheets/d/1SX6NBoVAgQJ6U1MVXOaj8PK2l7WJ3RER9xtqwdhxkhw/edit?usp=sharing"",""สิงห์บุรี!J309"")"),0.0)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IFERROR(__xludf.DUMMYFUNCTION("IMPORTRANGE(""https://docs.google.com/spreadsheets/d/1SX6NBoVAgQJ6U1MVXOaj8PK2l7WJ3RER9xtqwdhxkhw/edit?usp=sharing"",""สิงห์บุรี!J310"")"),0.0)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IFERROR(__xludf.DUMMYFUNCTION("IMPORTRANGE(""https://docs.google.com/spreadsheets/d/1SX6NBoVAgQJ6U1MVXOaj8PK2l7WJ3RER9xtqwdhxkhw/edit?usp=sharing"",""สิงห์บุรี!I311"")"),29.0)</f>
        <v>29</v>
      </c>
      <c r="J416" s="235">
        <f>IFERROR(__xludf.DUMMYFUNCTION("IMPORTRANGE(""https://docs.google.com/spreadsheets/d/1SX6NBoVAgQJ6U1MVXOaj8PK2l7WJ3RER9xtqwdhxkhw/edit?usp=sharing"",""สิงห์บุรี!J311"")"),0.0)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IFERROR(__xludf.DUMMYFUNCTION("IMPORTRANGE(""https://docs.google.com/spreadsheets/d/1SX6NBoVAgQJ6U1MVXOaj8PK2l7WJ3RER9xtqwdhxkhw/edit?usp=sharing"",""สิงห์บุรี!I312"")"),0.0)</f>
        <v>0</v>
      </c>
      <c r="J417" s="425">
        <f>IFERROR(__xludf.DUMMYFUNCTION("IMPORTRANGE(""https://docs.google.com/spreadsheets/d/1SX6NBoVAgQJ6U1MVXOaj8PK2l7WJ3RER9xtqwdhxkhw/edit?usp=sharing"",""สิงห์บุรี!J312"")"),0.0)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IFERROR(__xludf.DUMMYFUNCTION("IMPORTRANGE(""https://docs.google.com/spreadsheets/d/1SX6NBoVAgQJ6U1MVXOaj8PK2l7WJ3RER9xtqwdhxkhw/edit?usp=sharing"",""สิงห์บุรี!I313"")"),0.0)</f>
        <v>0</v>
      </c>
      <c r="J418" s="426">
        <f>IFERROR(__xludf.DUMMYFUNCTION("IMPORTRANGE(""https://docs.google.com/spreadsheets/d/1SX6NBoVAgQJ6U1MVXOaj8PK2l7WJ3RER9xtqwdhxkhw/edit?usp=sharing"",""สิงห์บุรี!J313"")"),0.0)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IFERROR(__xludf.DUMMYFUNCTION("IMPORTRANGE(""https://docs.google.com/spreadsheets/d/1SX6NBoVAgQJ6U1MVXOaj8PK2l7WJ3RER9xtqwdhxkhw/edit?usp=sharing"",""สิงห์บุรี!I314"")"),0.0)</f>
        <v>0</v>
      </c>
      <c r="J419" s="427">
        <f>IFERROR(__xludf.DUMMYFUNCTION("IMPORTRANGE(""https://docs.google.com/spreadsheets/d/1SX6NBoVAgQJ6U1MVXOaj8PK2l7WJ3RER9xtqwdhxkhw/edit?usp=sharing"",""สิงห์บุรี!J314"")"),0.0)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IFERROR(__xludf.DUMMYFUNCTION("IMPORTRANGE(""https://docs.google.com/spreadsheets/d/1SX6NBoVAgQJ6U1MVXOaj8PK2l7WJ3RER9xtqwdhxkhw/edit?usp=sharing"",""สิงห์บุรี!I315"")"),0.0)</f>
        <v>0</v>
      </c>
      <c r="J420" s="427">
        <f>IFERROR(__xludf.DUMMYFUNCTION("IMPORTRANGE(""https://docs.google.com/spreadsheets/d/1SX6NBoVAgQJ6U1MVXOaj8PK2l7WJ3RER9xtqwdhxkhw/edit?usp=sharing"",""สิงห์บุรี!J315"")"),0.0)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IFERROR(__xludf.DUMMYFUNCTION("IMPORTRANGE(""https://docs.google.com/spreadsheets/d/1SX6NBoVAgQJ6U1MVXOaj8PK2l7WJ3RER9xtqwdhxkhw/edit?usp=sharing"",""สิงห์บุรี!I316"")"),19.0)</f>
        <v>19</v>
      </c>
      <c r="J421" s="425">
        <f>IFERROR(__xludf.DUMMYFUNCTION("IMPORTRANGE(""https://docs.google.com/spreadsheets/d/1SX6NBoVAgQJ6U1MVXOaj8PK2l7WJ3RER9xtqwdhxkhw/edit?usp=sharing"",""สิงห์บุรี!J316"")"),0.0)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IFERROR(__xludf.DUMMYFUNCTION("IMPORTRANGE(""https://docs.google.com/spreadsheets/d/1SX6NBoVAgQJ6U1MVXOaj8PK2l7WJ3RER9xtqwdhxkhw/edit?usp=sharing"",""สิงห์บุรี!I317"")"),57.0)</f>
        <v>57</v>
      </c>
      <c r="J422" s="426">
        <f>IFERROR(__xludf.DUMMYFUNCTION("IMPORTRANGE(""https://docs.google.com/spreadsheets/d/1SX6NBoVAgQJ6U1MVXOaj8PK2l7WJ3RER9xtqwdhxkhw/edit?usp=sharing"",""สิงห์บุรี!J317"")"),0.0)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IFERROR(__xludf.DUMMYFUNCTION("IMPORTRANGE(""https://docs.google.com/spreadsheets/d/1SX6NBoVAgQJ6U1MVXOaj8PK2l7WJ3RER9xtqwdhxkhw/edit?usp=sharing"",""สิงห์บุรี!I318"")"),19.0)</f>
        <v>19</v>
      </c>
      <c r="J423" s="427">
        <f>IFERROR(__xludf.DUMMYFUNCTION("IMPORTRANGE(""https://docs.google.com/spreadsheets/d/1SX6NBoVAgQJ6U1MVXOaj8PK2l7WJ3RER9xtqwdhxkhw/edit?usp=sharing"",""สิงห์บุรี!J318"")"),0.0)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IFERROR(__xludf.DUMMYFUNCTION("IMPORTRANGE(""https://docs.google.com/spreadsheets/d/1SX6NBoVAgQJ6U1MVXOaj8PK2l7WJ3RER9xtqwdhxkhw/edit?usp=sharing"",""สิงห์บุรี!I319"")"),19.0)</f>
        <v>19</v>
      </c>
      <c r="J424" s="427">
        <f>IFERROR(__xludf.DUMMYFUNCTION("IMPORTRANGE(""https://docs.google.com/spreadsheets/d/1SX6NBoVAgQJ6U1MVXOaj8PK2l7WJ3RER9xtqwdhxkhw/edit?usp=sharing"",""สิงห์บุรี!J319"")"),0.0)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IFERROR(__xludf.DUMMYFUNCTION("IMPORTRANGE(""https://docs.google.com/spreadsheets/d/1SX6NBoVAgQJ6U1MVXOaj8PK2l7WJ3RER9xtqwdhxkhw/edit?usp=sharing"",""สิงห์บุรี!I320"")"),19.0)</f>
        <v>19</v>
      </c>
      <c r="J425" s="427">
        <f>IFERROR(__xludf.DUMMYFUNCTION("IMPORTRANGE(""https://docs.google.com/spreadsheets/d/1SX6NBoVAgQJ6U1MVXOaj8PK2l7WJ3RER9xtqwdhxkhw/edit?usp=sharing"",""สิงห์บุรี!J320"")"),0.0)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IFERROR(__xludf.DUMMYFUNCTION("IMPORTRANGE(""https://docs.google.com/spreadsheets/d/1SX6NBoVAgQJ6U1MVXOaj8PK2l7WJ3RER9xtqwdhxkhw/edit?usp=sharing"",""สิงห์บุรี!I321"")"),10.0)</f>
        <v>10</v>
      </c>
      <c r="J426" s="425">
        <f>IFERROR(__xludf.DUMMYFUNCTION("IMPORTRANGE(""https://docs.google.com/spreadsheets/d/1SX6NBoVAgQJ6U1MVXOaj8PK2l7WJ3RER9xtqwdhxkhw/edit?usp=sharing"",""สิงห์บุรี!J321"")"),0.0)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IFERROR(__xludf.DUMMYFUNCTION("IMPORTRANGE(""https://docs.google.com/spreadsheets/d/1SX6NBoVAgQJ6U1MVXOaj8PK2l7WJ3RER9xtqwdhxkhw/edit?usp=sharing"",""สิงห์บุรี!I322"")"),30.0)</f>
        <v>30</v>
      </c>
      <c r="J427" s="426">
        <f>IFERROR(__xludf.DUMMYFUNCTION("IMPORTRANGE(""https://docs.google.com/spreadsheets/d/1SX6NBoVAgQJ6U1MVXOaj8PK2l7WJ3RER9xtqwdhxkhw/edit?usp=sharing"",""สิงห์บุรี!J322"")"),0.0)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IFERROR(__xludf.DUMMYFUNCTION("IMPORTRANGE(""https://docs.google.com/spreadsheets/d/1SX6NBoVAgQJ6U1MVXOaj8PK2l7WJ3RER9xtqwdhxkhw/edit?usp=sharing"",""สิงห์บุรี!I323"")"),10.0)</f>
        <v>10</v>
      </c>
      <c r="J428" s="427">
        <f>IFERROR(__xludf.DUMMYFUNCTION("IMPORTRANGE(""https://docs.google.com/spreadsheets/d/1SX6NBoVAgQJ6U1MVXOaj8PK2l7WJ3RER9xtqwdhxkhw/edit?usp=sharing"",""สิงห์บุรี!J323"")"),0.0)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IFERROR(__xludf.DUMMYFUNCTION("IMPORTRANGE(""https://docs.google.com/spreadsheets/d/1SX6NBoVAgQJ6U1MVXOaj8PK2l7WJ3RER9xtqwdhxkhw/edit?usp=sharing"",""สิงห์บุรี!I324"")"),10.0)</f>
        <v>10</v>
      </c>
      <c r="J429" s="427">
        <f>IFERROR(__xludf.DUMMYFUNCTION("IMPORTRANGE(""https://docs.google.com/spreadsheets/d/1SX6NBoVAgQJ6U1MVXOaj8PK2l7WJ3RER9xtqwdhxkhw/edit?usp=sharing"",""สิงห์บุรี!J324"")"),0.0)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IFERROR(__xludf.DUMMYFUNCTION("IMPORTRANGE(""https://docs.google.com/spreadsheets/d/1SX6NBoVAgQJ6U1MVXOaj8PK2l7WJ3RER9xtqwdhxkhw/edit?usp=sharing"",""สิงห์บุรี!I325"")"),19.0)</f>
        <v>19</v>
      </c>
      <c r="J430" s="425">
        <f>IFERROR(__xludf.DUMMYFUNCTION("IMPORTRANGE(""https://docs.google.com/spreadsheets/d/1SX6NBoVAgQJ6U1MVXOaj8PK2l7WJ3RER9xtqwdhxkhw/edit?usp=sharing"",""สิงห์บุรี!J325"")"),0.0)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IFERROR(__xludf.DUMMYFUNCTION("IMPORTRANGE(""https://docs.google.com/spreadsheets/d/1SX6NBoVAgQJ6U1MVXOaj8PK2l7WJ3RER9xtqwdhxkhw/edit?usp=sharing"",""สิงห์บุรี!I326"")"),0.0)</f>
        <v>0</v>
      </c>
      <c r="J431" s="427">
        <f>IFERROR(__xludf.DUMMYFUNCTION("IMPORTRANGE(""https://docs.google.com/spreadsheets/d/1SX6NBoVAgQJ6U1MVXOaj8PK2l7WJ3RER9xtqwdhxkhw/edit?usp=sharing"",""สิงห์บุรี!J326"")"),0.0)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IFERROR(__xludf.DUMMYFUNCTION("IMPORTRANGE(""https://docs.google.com/spreadsheets/d/1SX6NBoVAgQJ6U1MVXOaj8PK2l7WJ3RER9xtqwdhxkhw/edit?usp=sharing"",""สิงห์บุรี!I327"")"),19.0)</f>
        <v>19</v>
      </c>
      <c r="J432" s="427">
        <f>IFERROR(__xludf.DUMMYFUNCTION("IMPORTRANGE(""https://docs.google.com/spreadsheets/d/1SX6NBoVAgQJ6U1MVXOaj8PK2l7WJ3RER9xtqwdhxkhw/edit?usp=sharing"",""สิงห์บุรี!J327"")"),0.0)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IFERROR(__xludf.DUMMYFUNCTION("IMPORTRANGE(""https://docs.google.com/spreadsheets/d/1SX6NBoVAgQJ6U1MVXOaj8PK2l7WJ3RER9xtqwdhxkhw/edit?usp=sharing"",""สิงห์บุรี!J328"")"),0.0)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IFERROR(__xludf.DUMMYFUNCTION("IMPORTRANGE(""https://docs.google.com/spreadsheets/d/1SX6NBoVAgQJ6U1MVXOaj8PK2l7WJ3RER9xtqwdhxkhw/edit?usp=sharing"",""สิงห์บุรี!J329"")"),0.0)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IFERROR(__xludf.DUMMYFUNCTION("IMPORTRANGE(""https://docs.google.com/spreadsheets/d/1SX6NBoVAgQJ6U1MVXOaj8PK2l7WJ3RER9xtqwdhxkhw/edit?usp=sharing"",""สิงห์บุรี!I330"")"),10.0)</f>
        <v>10</v>
      </c>
      <c r="J435" s="443">
        <f>IFERROR(__xludf.DUMMYFUNCTION("IMPORTRANGE(""https://docs.google.com/spreadsheets/d/1SX6NBoVAgQJ6U1MVXOaj8PK2l7WJ3RER9xtqwdhxkhw/edit?usp=sharing"",""สิงห์บุรี!J330"")"),10.0)</f>
        <v>10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IFERROR(__xludf.DUMMYFUNCTION("IMPORTRANGE(""https://docs.google.com/spreadsheets/d/1SX6NBoVAgQJ6U1MVXOaj8PK2l7WJ3RER9xtqwdhxkhw/edit?usp=sharing"",""สิงห์บุรี!L330"")"),71000.0)</f>
        <v>71000</v>
      </c>
      <c r="M435" s="445"/>
      <c r="N435" s="445">
        <f>IFERROR(__xludf.DUMMYFUNCTION("IMPORTRANGE(""https://docs.google.com/spreadsheets/d/1SX6NBoVAgQJ6U1MVXOaj8PK2l7WJ3RER9xtqwdhxkhw/edit?usp=sharing"",""สิงห์บุรี!M330"")"),9609.0)</f>
        <v>9609</v>
      </c>
      <c r="O435" s="445">
        <f t="shared" ref="O435:O439" si="115">+IF(L435&gt;0,N435*100/L435,0)</f>
        <v>13.53380282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IFERROR(__xludf.DUMMYFUNCTION("IMPORTRANGE(""https://docs.google.com/spreadsheets/d/1SX6NBoVAgQJ6U1MVXOaj8PK2l7WJ3RER9xtqwdhxkhw/edit?usp=sharing"",""สิงห์บุรี!L331"")"),0.0)</f>
        <v>0</v>
      </c>
      <c r="M436" s="197"/>
      <c r="N436" s="203">
        <f>IFERROR(__xludf.DUMMYFUNCTION("IMPORTRANGE(""https://docs.google.com/spreadsheets/d/1SX6NBoVAgQJ6U1MVXOaj8PK2l7WJ3RER9xtqwdhxkhw/edit?usp=sharing"",""สิงห์บุรี!M331"")"),0.0)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IFERROR(__xludf.DUMMYFUNCTION("IMPORTRANGE(""https://docs.google.com/spreadsheets/d/1SX6NBoVAgQJ6U1MVXOaj8PK2l7WJ3RER9xtqwdhxkhw/edit?usp=sharing"",""สิงห์บุรี!L332"")"),71000.0)</f>
        <v>71000</v>
      </c>
      <c r="M437" s="198"/>
      <c r="N437" s="203">
        <f>IFERROR(__xludf.DUMMYFUNCTION("IMPORTRANGE(""https://docs.google.com/spreadsheets/d/1SX6NBoVAgQJ6U1MVXOaj8PK2l7WJ3RER9xtqwdhxkhw/edit?usp=sharing"",""สิงห์บุรี!M332"")"),9609.0)</f>
        <v>9609</v>
      </c>
      <c r="O437" s="203">
        <f t="shared" si="115"/>
        <v>13.53380282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IFERROR(__xludf.DUMMYFUNCTION("IMPORTRANGE(""https://docs.google.com/spreadsheets/d/1SX6NBoVAgQJ6U1MVXOaj8PK2l7WJ3RER9xtqwdhxkhw/edit?usp=sharing"",""สิงห์บุรี!L333"")"),0.0)</f>
        <v>0</v>
      </c>
      <c r="M438" s="203"/>
      <c r="N438" s="203">
        <f>IFERROR(__xludf.DUMMYFUNCTION("IMPORTRANGE(""https://docs.google.com/spreadsheets/d/1SX6NBoVAgQJ6U1MVXOaj8PK2l7WJ3RER9xtqwdhxkhw/edit?usp=sharing"",""สิงห์บุรี!M333"")"),0.0)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IFERROR(__xludf.DUMMYFUNCTION("IMPORTRANGE(""https://docs.google.com/spreadsheets/d/1SX6NBoVAgQJ6U1MVXOaj8PK2l7WJ3RER9xtqwdhxkhw/edit?usp=sharing"",""สิงห์บุรี!L334"")"),71000.0)</f>
        <v>71000</v>
      </c>
      <c r="M439" s="203"/>
      <c r="N439" s="203">
        <f>IFERROR(__xludf.DUMMYFUNCTION("IMPORTRANGE(""https://docs.google.com/spreadsheets/d/1SX6NBoVAgQJ6U1MVXOaj8PK2l7WJ3RER9xtqwdhxkhw/edit?usp=sharing"",""สิงห์บุรี!M334"")"),9609.0)</f>
        <v>9609</v>
      </c>
      <c r="O439" s="203">
        <f t="shared" si="115"/>
        <v>13.53380282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IFERROR(__xludf.DUMMYFUNCTION("IMPORTRANGE(""https://docs.google.com/spreadsheets/d/1SX6NBoVAgQJ6U1MVXOaj8PK2l7WJ3RER9xtqwdhxkhw/edit?usp=sharing"",""สิงห์บุรี!M335"")"),9609.0)</f>
        <v>9609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IFERROR(__xludf.DUMMYFUNCTION("IMPORTRANGE(""https://docs.google.com/spreadsheets/d/1SX6NBoVAgQJ6U1MVXOaj8PK2l7WJ3RER9xtqwdhxkhw/edit?usp=sharing"",""สิงห์บุรี!M336"")"),0.0)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IFERROR(__xludf.DUMMYFUNCTION("IMPORTRANGE(""https://docs.google.com/spreadsheets/d/1SX6NBoVAgQJ6U1MVXOaj8PK2l7WJ3RER9xtqwdhxkhw/edit?usp=sharing"",""สิงห์บุรี!M337"")"),0.0)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IFERROR(__xludf.DUMMYFUNCTION("IMPORTRANGE(""https://docs.google.com/spreadsheets/d/1SX6NBoVAgQJ6U1MVXOaj8PK2l7WJ3RER9xtqwdhxkhw/edit?usp=sharing"",""สิงห์บุรี!M338"")"),0.0)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IFERROR(__xludf.DUMMYFUNCTION("IMPORTRANGE(""https://docs.google.com/spreadsheets/d/1SX6NBoVAgQJ6U1MVXOaj8PK2l7WJ3RER9xtqwdhxkhw/edit?usp=sharing"",""สิงห์บุรี!J340"")"),0.0)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 t="str">
        <f>IFERROR(__xludf.DUMMYFUNCTION("IMPORTRANGE(""https://docs.google.com/spreadsheets/d/1SX6NBoVAgQJ6U1MVXOaj8PK2l7WJ3RER9xtqwdhxkhw/edit?usp=sharing"",""สิงห์บุรี!J341"")"),"")</f>
        <v/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 t="str">
        <f>IFERROR(__xludf.DUMMYFUNCTION("IMPORTRANGE(""https://docs.google.com/spreadsheets/d/1SX6NBoVAgQJ6U1MVXOaj8PK2l7WJ3RER9xtqwdhxkhw/edit?usp=sharing"",""สิงห์บุรี!J342"")"),"")</f>
        <v/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 t="str">
        <f>IFERROR(__xludf.DUMMYFUNCTION("IMPORTRANGE(""https://docs.google.com/spreadsheets/d/1SX6NBoVAgQJ6U1MVXOaj8PK2l7WJ3RER9xtqwdhxkhw/edit?usp=sharing"",""สิงห์บุรี!J343"")"),"")</f>
        <v/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IFERROR(__xludf.DUMMYFUNCTION("IMPORTRANGE(""https://docs.google.com/spreadsheets/d/1SX6NBoVAgQJ6U1MVXOaj8PK2l7WJ3RER9xtqwdhxkhw/edit?usp=sharing"",""สิงห์บุรี!I344"")"),10.0)</f>
        <v>10</v>
      </c>
      <c r="J449" s="235">
        <f>IFERROR(__xludf.DUMMYFUNCTION("IMPORTRANGE(""https://docs.google.com/spreadsheets/d/1SX6NBoVAgQJ6U1MVXOaj8PK2l7WJ3RER9xtqwdhxkhw/edit?usp=sharing"",""สิงห์บุรี!J344"")"),10.0)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IFERROR(__xludf.DUMMYFUNCTION("IMPORTRANGE(""https://docs.google.com/spreadsheets/d/1SX6NBoVAgQJ6U1MVXOaj8PK2l7WJ3RER9xtqwdhxkhw/edit?usp=sharing"",""สิงห์บุรี!I345"")"),10.0)</f>
        <v>10</v>
      </c>
      <c r="J450" s="223">
        <f>IFERROR(__xludf.DUMMYFUNCTION("IMPORTRANGE(""https://docs.google.com/spreadsheets/d/1SX6NBoVAgQJ6U1MVXOaj8PK2l7WJ3RER9xtqwdhxkhw/edit?usp=sharing"",""สิงห์บุรี!J345"")"),10.0)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IFERROR(__xludf.DUMMYFUNCTION("IMPORTRANGE(""https://docs.google.com/spreadsheets/d/1SX6NBoVAgQJ6U1MVXOaj8PK2l7WJ3RER9xtqwdhxkhw/edit?usp=sharing"",""สิงห์บุรี!I346"")"),0.0)</f>
        <v>0</v>
      </c>
      <c r="J451" s="222">
        <f>IFERROR(__xludf.DUMMYFUNCTION("IMPORTRANGE(""https://docs.google.com/spreadsheets/d/1SX6NBoVAgQJ6U1MVXOaj8PK2l7WJ3RER9xtqwdhxkhw/edit?usp=sharing"",""สิงห์บุรี!J346"")"),0.0)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IFERROR(__xludf.DUMMYFUNCTION("IMPORTRANGE(""https://docs.google.com/spreadsheets/d/1SX6NBoVAgQJ6U1MVXOaj8PK2l7WJ3RER9xtqwdhxkhw/edit?usp=sharing"",""สิงห์บุรี!I347"")"),0.0)</f>
        <v>0</v>
      </c>
      <c r="J452" s="222">
        <f>IFERROR(__xludf.DUMMYFUNCTION("IMPORTRANGE(""https://docs.google.com/spreadsheets/d/1SX6NBoVAgQJ6U1MVXOaj8PK2l7WJ3RER9xtqwdhxkhw/edit?usp=sharing"",""สิงห์บุรี!J347"")"),0.0)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IFERROR(__xludf.DUMMYFUNCTION("IMPORTRANGE(""https://docs.google.com/spreadsheets/d/1SX6NBoVAgQJ6U1MVXOaj8PK2l7WJ3RER9xtqwdhxkhw/edit?usp=sharing"",""สิงห์บุรี!J348"")"),0.0)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IFERROR(__xludf.DUMMYFUNCTION("IMPORTRANGE(""https://docs.google.com/spreadsheets/d/1SX6NBoVAgQJ6U1MVXOaj8PK2l7WJ3RER9xtqwdhxkhw/edit?usp=sharing"",""สิงห์บุรี!J349"")"),1.0)</f>
        <v>1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IFERROR(__xludf.DUMMYFUNCTION("IMPORTRANGE(""https://docs.google.com/spreadsheets/d/1SX6NBoVAgQJ6U1MVXOaj8PK2l7WJ3RER9xtqwdhxkhw/edit?usp=sharing"",""สิงห์บุรี!I350"")"),0.0)</f>
        <v>0</v>
      </c>
      <c r="J455" s="404">
        <f>IFERROR(__xludf.DUMMYFUNCTION("IMPORTRANGE(""https://docs.google.com/spreadsheets/d/1SX6NBoVAgQJ6U1MVXOaj8PK2l7WJ3RER9xtqwdhxkhw/edit?usp=sharing"",""สิงห์บุรี!J350"")"),0.0)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IFERROR(__xludf.DUMMYFUNCTION("IMPORTRANGE(""https://docs.google.com/spreadsheets/d/1SX6NBoVAgQJ6U1MVXOaj8PK2l7WJ3RER9xtqwdhxkhw/edit?usp=sharing"",""สิงห์บุรี!L350"")"),0.0)</f>
        <v>0</v>
      </c>
      <c r="M455" s="406"/>
      <c r="N455" s="406">
        <f>IFERROR(__xludf.DUMMYFUNCTION("IMPORTRANGE(""https://docs.google.com/spreadsheets/d/1SX6NBoVAgQJ6U1MVXOaj8PK2l7WJ3RER9xtqwdhxkhw/edit?usp=sharing"",""สิงห์บุรี!M350"")"),0.0)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IFERROR(__xludf.DUMMYFUNCTION("IMPORTRANGE(""https://docs.google.com/spreadsheets/d/1SX6NBoVAgQJ6U1MVXOaj8PK2l7WJ3RER9xtqwdhxkhw/edit?usp=sharing"",""สิงห์บุรี!L351"")"),0.0)</f>
        <v>0</v>
      </c>
      <c r="M456" s="197"/>
      <c r="N456" s="203">
        <f>IFERROR(__xludf.DUMMYFUNCTION("IMPORTRANGE(""https://docs.google.com/spreadsheets/d/1SX6NBoVAgQJ6U1MVXOaj8PK2l7WJ3RER9xtqwdhxkhw/edit?usp=sharing"",""สิงห์บุรี!M351"")"),0.0)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IFERROR(__xludf.DUMMYFUNCTION("IMPORTRANGE(""https://docs.google.com/spreadsheets/d/1SX6NBoVAgQJ6U1MVXOaj8PK2l7WJ3RER9xtqwdhxkhw/edit?usp=sharing"",""สิงห์บุรี!L352"")"),0.0)</f>
        <v>0</v>
      </c>
      <c r="M457" s="198"/>
      <c r="N457" s="203">
        <f>IFERROR(__xludf.DUMMYFUNCTION("IMPORTRANGE(""https://docs.google.com/spreadsheets/d/1SX6NBoVAgQJ6U1MVXOaj8PK2l7WJ3RER9xtqwdhxkhw/edit?usp=sharing"",""สิงห์บุรี!M352"")"),0.0)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IFERROR(__xludf.DUMMYFUNCTION("IMPORTRANGE(""https://docs.google.com/spreadsheets/d/1SX6NBoVAgQJ6U1MVXOaj8PK2l7WJ3RER9xtqwdhxkhw/edit?usp=sharing"",""สิงห์บุรี!L353"")"),0.0)</f>
        <v>0</v>
      </c>
      <c r="M458" s="203"/>
      <c r="N458" s="203">
        <f>IFERROR(__xludf.DUMMYFUNCTION("IMPORTRANGE(""https://docs.google.com/spreadsheets/d/1SX6NBoVAgQJ6U1MVXOaj8PK2l7WJ3RER9xtqwdhxkhw/edit?usp=sharing"",""สิงห์บุรี!M353"")"),0.0)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IFERROR(__xludf.DUMMYFUNCTION("IMPORTRANGE(""https://docs.google.com/spreadsheets/d/1SX6NBoVAgQJ6U1MVXOaj8PK2l7WJ3RER9xtqwdhxkhw/edit?usp=sharing"",""สิงห์บุรี!L354"")"),0.0)</f>
        <v>0</v>
      </c>
      <c r="M459" s="203"/>
      <c r="N459" s="203">
        <f>IFERROR(__xludf.DUMMYFUNCTION("IMPORTRANGE(""https://docs.google.com/spreadsheets/d/1SX6NBoVAgQJ6U1MVXOaj8PK2l7WJ3RER9xtqwdhxkhw/edit?usp=sharing"",""สิงห์บุรี!M354"")"),0.0)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IFERROR(__xludf.DUMMYFUNCTION("IMPORTRANGE(""https://docs.google.com/spreadsheets/d/1SX6NBoVAgQJ6U1MVXOaj8PK2l7WJ3RER9xtqwdhxkhw/edit?usp=sharing"",""สิงห์บุรี!M355"")"),0.0)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IFERROR(__xludf.DUMMYFUNCTION("IMPORTRANGE(""https://docs.google.com/spreadsheets/d/1SX6NBoVAgQJ6U1MVXOaj8PK2l7WJ3RER9xtqwdhxkhw/edit?usp=sharing"",""สิงห์บุรี!M356"")"),0.0)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IFERROR(__xludf.DUMMYFUNCTION("IMPORTRANGE(""https://docs.google.com/spreadsheets/d/1SX6NBoVAgQJ6U1MVXOaj8PK2l7WJ3RER9xtqwdhxkhw/edit?usp=sharing"",""สิงห์บุรี!M357"")"),0.0)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IFERROR(__xludf.DUMMYFUNCTION("IMPORTRANGE(""https://docs.google.com/spreadsheets/d/1SX6NBoVAgQJ6U1MVXOaj8PK2l7WJ3RER9xtqwdhxkhw/edit?usp=sharing"",""สิงห์บุรี!M358"")"),0.0)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IFERROR(__xludf.DUMMYFUNCTION("IMPORTRANGE(""https://docs.google.com/spreadsheets/d/1SX6NBoVAgQJ6U1MVXOaj8PK2l7WJ3RER9xtqwdhxkhw/edit?usp=sharing"",""สิงห์บุรี!I359"")"),0.0)</f>
        <v>0</v>
      </c>
      <c r="J464" s="301">
        <f>IFERROR(__xludf.DUMMYFUNCTION("IMPORTRANGE(""https://docs.google.com/spreadsheets/d/1SX6NBoVAgQJ6U1MVXOaj8PK2l7WJ3RER9xtqwdhxkhw/edit?usp=sharing"",""สิงห์บุรี!J359"")"),0.0)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IFERROR(__xludf.DUMMYFUNCTION("IMPORTRANGE(""https://docs.google.com/spreadsheets/d/1SX6NBoVAgQJ6U1MVXOaj8PK2l7WJ3RER9xtqwdhxkhw/edit?usp=sharing"",""สิงห์บุรี!I360"")"),0.0)</f>
        <v>0</v>
      </c>
      <c r="J465" s="453">
        <f>IFERROR(__xludf.DUMMYFUNCTION("IMPORTRANGE(""https://docs.google.com/spreadsheets/d/1SX6NBoVAgQJ6U1MVXOaj8PK2l7WJ3RER9xtqwdhxkhw/edit?usp=sharing"",""สิงห์บุรี!J360"")"),0.0)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IFERROR(__xludf.DUMMYFUNCTION("IMPORTRANGE(""https://docs.google.com/spreadsheets/d/1SX6NBoVAgQJ6U1MVXOaj8PK2l7WJ3RER9xtqwdhxkhw/edit?usp=sharing"",""สิงห์บุรี!I361"")"),0.0)</f>
        <v>0</v>
      </c>
      <c r="J466" s="453">
        <f>IFERROR(__xludf.DUMMYFUNCTION("IMPORTRANGE(""https://docs.google.com/spreadsheets/d/1SX6NBoVAgQJ6U1MVXOaj8PK2l7WJ3RER9xtqwdhxkhw/edit?usp=sharing"",""สิงห์บุรี!J361"")"),0.0)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IFERROR(__xludf.DUMMYFUNCTION("IMPORTRANGE(""https://docs.google.com/spreadsheets/d/1SX6NBoVAgQJ6U1MVXOaj8PK2l7WJ3RER9xtqwdhxkhw/edit?usp=sharing"",""สิงห์บุรี!I362"")"),0.0)</f>
        <v>0</v>
      </c>
      <c r="J467" s="223">
        <f>IFERROR(__xludf.DUMMYFUNCTION("IMPORTRANGE(""https://docs.google.com/spreadsheets/d/1SX6NBoVAgQJ6U1MVXOaj8PK2l7WJ3RER9xtqwdhxkhw/edit?usp=sharing"",""สิงห์บุรี!J362"")"),0.0)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IFERROR(__xludf.DUMMYFUNCTION("IMPORTRANGE(""https://docs.google.com/spreadsheets/d/1SX6NBoVAgQJ6U1MVXOaj8PK2l7WJ3RER9xtqwdhxkhw/edit?usp=sharing"",""สิงห์บุรี!I363"")"),0.0)</f>
        <v>0</v>
      </c>
      <c r="J468" s="223">
        <f>IFERROR(__xludf.DUMMYFUNCTION("IMPORTRANGE(""https://docs.google.com/spreadsheets/d/1SX6NBoVAgQJ6U1MVXOaj8PK2l7WJ3RER9xtqwdhxkhw/edit?usp=sharing"",""สิงห์บุรี!J363"")"),0.0)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IFERROR(__xludf.DUMMYFUNCTION("IMPORTRANGE(""https://docs.google.com/spreadsheets/d/1SX6NBoVAgQJ6U1MVXOaj8PK2l7WJ3RER9xtqwdhxkhw/edit?usp=sharing"",""สิงห์บุรี!I364"")"),0.0)</f>
        <v>0</v>
      </c>
      <c r="J469" s="223">
        <f>IFERROR(__xludf.DUMMYFUNCTION("IMPORTRANGE(""https://docs.google.com/spreadsheets/d/1SX6NBoVAgQJ6U1MVXOaj8PK2l7WJ3RER9xtqwdhxkhw/edit?usp=sharing"",""สิงห์บุรี!J364"")"),0.0)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IFERROR(__xludf.DUMMYFUNCTION("IMPORTRANGE(""https://docs.google.com/spreadsheets/d/1SX6NBoVAgQJ6U1MVXOaj8PK2l7WJ3RER9xtqwdhxkhw/edit?usp=sharing"",""สิงห์บุรี!I365"")"),0.0)</f>
        <v>0</v>
      </c>
      <c r="J470" s="223">
        <f>IFERROR(__xludf.DUMMYFUNCTION("IMPORTRANGE(""https://docs.google.com/spreadsheets/d/1SX6NBoVAgQJ6U1MVXOaj8PK2l7WJ3RER9xtqwdhxkhw/edit?usp=sharing"",""สิงห์บุรี!J365"")"),0.0)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IFERROR(__xludf.DUMMYFUNCTION("IMPORTRANGE(""https://docs.google.com/spreadsheets/d/1SX6NBoVAgQJ6U1MVXOaj8PK2l7WJ3RER9xtqwdhxkhw/edit?usp=sharing"",""สิงห์บุรี!I366"")"),0.0)</f>
        <v>0</v>
      </c>
      <c r="J471" s="223">
        <f>IFERROR(__xludf.DUMMYFUNCTION("IMPORTRANGE(""https://docs.google.com/spreadsheets/d/1SX6NBoVAgQJ6U1MVXOaj8PK2l7WJ3RER9xtqwdhxkhw/edit?usp=sharing"",""สิงห์บุรี!J366"")"),0.0)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IFERROR(__xludf.DUMMYFUNCTION("IMPORTRANGE(""https://docs.google.com/spreadsheets/d/1SX6NBoVAgQJ6U1MVXOaj8PK2l7WJ3RER9xtqwdhxkhw/edit?usp=sharing"",""สิงห์บุรี!I367"")"),0.0)</f>
        <v>0</v>
      </c>
      <c r="J472" s="223">
        <f>IFERROR(__xludf.DUMMYFUNCTION("IMPORTRANGE(""https://docs.google.com/spreadsheets/d/1SX6NBoVAgQJ6U1MVXOaj8PK2l7WJ3RER9xtqwdhxkhw/edit?usp=sharing"",""สิงห์บุรี!J367"")"),0.0)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IFERROR(__xludf.DUMMYFUNCTION("IMPORTRANGE(""https://docs.google.com/spreadsheets/d/1SX6NBoVAgQJ6U1MVXOaj8PK2l7WJ3RER9xtqwdhxkhw/edit?usp=sharing"",""สิงห์บุรี!I368"")"),0.0)</f>
        <v>0</v>
      </c>
      <c r="J473" s="453">
        <f>IFERROR(__xludf.DUMMYFUNCTION("IMPORTRANGE(""https://docs.google.com/spreadsheets/d/1SX6NBoVAgQJ6U1MVXOaj8PK2l7WJ3RER9xtqwdhxkhw/edit?usp=sharing"",""สิงห์บุรี!J368"")"),0.0)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IFERROR(__xludf.DUMMYFUNCTION("IMPORTRANGE(""https://docs.google.com/spreadsheets/d/1SX6NBoVAgQJ6U1MVXOaj8PK2l7WJ3RER9xtqwdhxkhw/edit?usp=sharing"",""สิงห์บุรี!I369"")"),0.0)</f>
        <v>0</v>
      </c>
      <c r="J474" s="453">
        <f>IFERROR(__xludf.DUMMYFUNCTION("IMPORTRANGE(""https://docs.google.com/spreadsheets/d/1SX6NBoVAgQJ6U1MVXOaj8PK2l7WJ3RER9xtqwdhxkhw/edit?usp=sharing"",""สิงห์บุรี!J369"")"),0.0)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IFERROR(__xludf.DUMMYFUNCTION("IMPORTRANGE(""https://docs.google.com/spreadsheets/d/1SX6NBoVAgQJ6U1MVXOaj8PK2l7WJ3RER9xtqwdhxkhw/edit?usp=sharing"",""สิงห์บุรี!I370"")"),0.0)</f>
        <v>0</v>
      </c>
      <c r="J475" s="223">
        <f>IFERROR(__xludf.DUMMYFUNCTION("IMPORTRANGE(""https://docs.google.com/spreadsheets/d/1SX6NBoVAgQJ6U1MVXOaj8PK2l7WJ3RER9xtqwdhxkhw/edit?usp=sharing"",""สิงห์บุรี!J370"")"),0.0)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IFERROR(__xludf.DUMMYFUNCTION("IMPORTRANGE(""https://docs.google.com/spreadsheets/d/1SX6NBoVAgQJ6U1MVXOaj8PK2l7WJ3RER9xtqwdhxkhw/edit?usp=sharing"",""สิงห์บุรี!I371"")"),0.0)</f>
        <v>0</v>
      </c>
      <c r="J476" s="223">
        <f>IFERROR(__xludf.DUMMYFUNCTION("IMPORTRANGE(""https://docs.google.com/spreadsheets/d/1SX6NBoVAgQJ6U1MVXOaj8PK2l7WJ3RER9xtqwdhxkhw/edit?usp=sharing"",""สิงห์บุรี!J371"")"),0.0)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IFERROR(__xludf.DUMMYFUNCTION("IMPORTRANGE(""https://docs.google.com/spreadsheets/d/1SX6NBoVAgQJ6U1MVXOaj8PK2l7WJ3RER9xtqwdhxkhw/edit?usp=sharing"",""สิงห์บุรี!I372"")"),0.0)</f>
        <v>0</v>
      </c>
      <c r="J477" s="223">
        <f>IFERROR(__xludf.DUMMYFUNCTION("IMPORTRANGE(""https://docs.google.com/spreadsheets/d/1SX6NBoVAgQJ6U1MVXOaj8PK2l7WJ3RER9xtqwdhxkhw/edit?usp=sharing"",""สิงห์บุรี!J372"")"),0.0)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IFERROR(__xludf.DUMMYFUNCTION("IMPORTRANGE(""https://docs.google.com/spreadsheets/d/1SX6NBoVAgQJ6U1MVXOaj8PK2l7WJ3RER9xtqwdhxkhw/edit?usp=sharing"",""สิงห์บุรี!I373"")"),0.0)</f>
        <v>0</v>
      </c>
      <c r="J478" s="223">
        <f>IFERROR(__xludf.DUMMYFUNCTION("IMPORTRANGE(""https://docs.google.com/spreadsheets/d/1SX6NBoVAgQJ6U1MVXOaj8PK2l7WJ3RER9xtqwdhxkhw/edit?usp=sharing"",""สิงห์บุรี!J373"")"),0.0)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IFERROR(__xludf.DUMMYFUNCTION("IMPORTRANGE(""https://docs.google.com/spreadsheets/d/1SX6NBoVAgQJ6U1MVXOaj8PK2l7WJ3RER9xtqwdhxkhw/edit?usp=sharing"",""สิงห์บุรี!I374"")"),0.0)</f>
        <v>0</v>
      </c>
      <c r="J479" s="223">
        <f>IFERROR(__xludf.DUMMYFUNCTION("IMPORTRANGE(""https://docs.google.com/spreadsheets/d/1SX6NBoVAgQJ6U1MVXOaj8PK2l7WJ3RER9xtqwdhxkhw/edit?usp=sharing"",""สิงห์บุรี!J374"")"),0.0)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IFERROR(__xludf.DUMMYFUNCTION("IMPORTRANGE(""https://docs.google.com/spreadsheets/d/1SX6NBoVAgQJ6U1MVXOaj8PK2l7WJ3RER9xtqwdhxkhw/edit?usp=sharing"",""สิงห์บุรี!I375"")"),0.0)</f>
        <v>0</v>
      </c>
      <c r="J480" s="223">
        <f>IFERROR(__xludf.DUMMYFUNCTION("IMPORTRANGE(""https://docs.google.com/spreadsheets/d/1SX6NBoVAgQJ6U1MVXOaj8PK2l7WJ3RER9xtqwdhxkhw/edit?usp=sharing"",""สิงห์บุรี!J375"")"),0.0)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IFERROR(__xludf.DUMMYFUNCTION("IMPORTRANGE(""https://docs.google.com/spreadsheets/d/1SX6NBoVAgQJ6U1MVXOaj8PK2l7WJ3RER9xtqwdhxkhw/edit?usp=sharing"",""สิงห์บุรี!I376"")"),0.0)</f>
        <v>0</v>
      </c>
      <c r="J481" s="453">
        <f>IFERROR(__xludf.DUMMYFUNCTION("IMPORTRANGE(""https://docs.google.com/spreadsheets/d/1SX6NBoVAgQJ6U1MVXOaj8PK2l7WJ3RER9xtqwdhxkhw/edit?usp=sharing"",""สิงห์บุรี!J376"")"),0.0)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IFERROR(__xludf.DUMMYFUNCTION("IMPORTRANGE(""https://docs.google.com/spreadsheets/d/1SX6NBoVAgQJ6U1MVXOaj8PK2l7WJ3RER9xtqwdhxkhw/edit?usp=sharing"",""สิงห์บุรี!I377"")"),0.0)</f>
        <v>0</v>
      </c>
      <c r="J482" s="453">
        <f>IFERROR(__xludf.DUMMYFUNCTION("IMPORTRANGE(""https://docs.google.com/spreadsheets/d/1SX6NBoVAgQJ6U1MVXOaj8PK2l7WJ3RER9xtqwdhxkhw/edit?usp=sharing"",""สิงห์บุรี!J377"")"),0.0)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IFERROR(__xludf.DUMMYFUNCTION("IMPORTRANGE(""https://docs.google.com/spreadsheets/d/1SX6NBoVAgQJ6U1MVXOaj8PK2l7WJ3RER9xtqwdhxkhw/edit?usp=sharing"",""สิงห์บุรี!I378"")"),0.0)</f>
        <v>0</v>
      </c>
      <c r="J483" s="223">
        <f>IFERROR(__xludf.DUMMYFUNCTION("IMPORTRANGE(""https://docs.google.com/spreadsheets/d/1SX6NBoVAgQJ6U1MVXOaj8PK2l7WJ3RER9xtqwdhxkhw/edit?usp=sharing"",""สิงห์บุรี!J378"")"),0.0)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IFERROR(__xludf.DUMMYFUNCTION("IMPORTRANGE(""https://docs.google.com/spreadsheets/d/1SX6NBoVAgQJ6U1MVXOaj8PK2l7WJ3RER9xtqwdhxkhw/edit?usp=sharing"",""สิงห์บุรี!I379"")"),0.0)</f>
        <v>0</v>
      </c>
      <c r="J484" s="223">
        <f>IFERROR(__xludf.DUMMYFUNCTION("IMPORTRANGE(""https://docs.google.com/spreadsheets/d/1SX6NBoVAgQJ6U1MVXOaj8PK2l7WJ3RER9xtqwdhxkhw/edit?usp=sharing"",""สิงห์บุรี!J379"")"),0.0)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IFERROR(__xludf.DUMMYFUNCTION("IMPORTRANGE(""https://docs.google.com/spreadsheets/d/1SX6NBoVAgQJ6U1MVXOaj8PK2l7WJ3RER9xtqwdhxkhw/edit?usp=sharing"",""สิงห์บุรี!I380"")"),0.0)</f>
        <v>0</v>
      </c>
      <c r="J485" s="223">
        <f>IFERROR(__xludf.DUMMYFUNCTION("IMPORTRANGE(""https://docs.google.com/spreadsheets/d/1SX6NBoVAgQJ6U1MVXOaj8PK2l7WJ3RER9xtqwdhxkhw/edit?usp=sharing"",""สิงห์บุรี!J380"")"),0.0)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IFERROR(__xludf.DUMMYFUNCTION("IMPORTRANGE(""https://docs.google.com/spreadsheets/d/1SX6NBoVAgQJ6U1MVXOaj8PK2l7WJ3RER9xtqwdhxkhw/edit?usp=sharing"",""สิงห์บุรี!I381"")"),0.0)</f>
        <v>0</v>
      </c>
      <c r="J486" s="223">
        <f>IFERROR(__xludf.DUMMYFUNCTION("IMPORTRANGE(""https://docs.google.com/spreadsheets/d/1SX6NBoVAgQJ6U1MVXOaj8PK2l7WJ3RER9xtqwdhxkhw/edit?usp=sharing"",""สิงห์บุรี!J381"")"),0.0)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IFERROR(__xludf.DUMMYFUNCTION("IMPORTRANGE(""https://docs.google.com/spreadsheets/d/1SX6NBoVAgQJ6U1MVXOaj8PK2l7WJ3RER9xtqwdhxkhw/edit?usp=sharing"",""สิงห์บุรี!I382"")"),0.0)</f>
        <v>0</v>
      </c>
      <c r="J487" s="453">
        <f>IFERROR(__xludf.DUMMYFUNCTION("IMPORTRANGE(""https://docs.google.com/spreadsheets/d/1SX6NBoVAgQJ6U1MVXOaj8PK2l7WJ3RER9xtqwdhxkhw/edit?usp=sharing"",""สิงห์บุรี!J382"")"),0.0)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IFERROR(__xludf.DUMMYFUNCTION("IMPORTRANGE(""https://docs.google.com/spreadsheets/d/1SX6NBoVAgQJ6U1MVXOaj8PK2l7WJ3RER9xtqwdhxkhw/edit?usp=sharing"",""สิงห์บุรี!I383"")"),0.0)</f>
        <v>0</v>
      </c>
      <c r="J488" s="453">
        <f>IFERROR(__xludf.DUMMYFUNCTION("IMPORTRANGE(""https://docs.google.com/spreadsheets/d/1SX6NBoVAgQJ6U1MVXOaj8PK2l7WJ3RER9xtqwdhxkhw/edit?usp=sharing"",""สิงห์บุรี!J383"")"),0.0)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IFERROR(__xludf.DUMMYFUNCTION("IMPORTRANGE(""https://docs.google.com/spreadsheets/d/1SX6NBoVAgQJ6U1MVXOaj8PK2l7WJ3RER9xtqwdhxkhw/edit?usp=sharing"",""สิงห์บุรี!I384"")"),0.0)</f>
        <v>0</v>
      </c>
      <c r="J489" s="223">
        <f>IFERROR(__xludf.DUMMYFUNCTION("IMPORTRANGE(""https://docs.google.com/spreadsheets/d/1SX6NBoVAgQJ6U1MVXOaj8PK2l7WJ3RER9xtqwdhxkhw/edit?usp=sharing"",""สิงห์บุรี!J384"")"),0.0)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IFERROR(__xludf.DUMMYFUNCTION("IMPORTRANGE(""https://docs.google.com/spreadsheets/d/1SX6NBoVAgQJ6U1MVXOaj8PK2l7WJ3RER9xtqwdhxkhw/edit?usp=sharing"",""สิงห์บุรี!I385"")"),0.0)</f>
        <v>0</v>
      </c>
      <c r="J490" s="223">
        <f>IFERROR(__xludf.DUMMYFUNCTION("IMPORTRANGE(""https://docs.google.com/spreadsheets/d/1SX6NBoVAgQJ6U1MVXOaj8PK2l7WJ3RER9xtqwdhxkhw/edit?usp=sharing"",""สิงห์บุรี!J385"")"),0.0)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IFERROR(__xludf.DUMMYFUNCTION("IMPORTRANGE(""https://docs.google.com/spreadsheets/d/1SX6NBoVAgQJ6U1MVXOaj8PK2l7WJ3RER9xtqwdhxkhw/edit?usp=sharing"",""สิงห์บุรี!I386"")"),0.0)</f>
        <v>0</v>
      </c>
      <c r="J491" s="223">
        <f>IFERROR(__xludf.DUMMYFUNCTION("IMPORTRANGE(""https://docs.google.com/spreadsheets/d/1SX6NBoVAgQJ6U1MVXOaj8PK2l7WJ3RER9xtqwdhxkhw/edit?usp=sharing"",""สิงห์บุรี!J386"")"),0.0)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IFERROR(__xludf.DUMMYFUNCTION("IMPORTRANGE(""https://docs.google.com/spreadsheets/d/1SX6NBoVAgQJ6U1MVXOaj8PK2l7WJ3RER9xtqwdhxkhw/edit?usp=sharing"",""สิงห์บุรี!I387"")"),0.0)</f>
        <v>0</v>
      </c>
      <c r="J492" s="223">
        <f>IFERROR(__xludf.DUMMYFUNCTION("IMPORTRANGE(""https://docs.google.com/spreadsheets/d/1SX6NBoVAgQJ6U1MVXOaj8PK2l7WJ3RER9xtqwdhxkhw/edit?usp=sharing"",""สิงห์บุรี!J387"")"),0.0)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IFERROR(__xludf.DUMMYFUNCTION("IMPORTRANGE(""https://docs.google.com/spreadsheets/d/1SX6NBoVAgQJ6U1MVXOaj8PK2l7WJ3RER9xtqwdhxkhw/edit?usp=sharing"",""สิงห์บุรี!I388"")"),0.0)</f>
        <v>0</v>
      </c>
      <c r="J493" s="223">
        <f>IFERROR(__xludf.DUMMYFUNCTION("IMPORTRANGE(""https://docs.google.com/spreadsheets/d/1SX6NBoVAgQJ6U1MVXOaj8PK2l7WJ3RER9xtqwdhxkhw/edit?usp=sharing"",""สิงห์บุรี!J388"")"),0.0)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IFERROR(__xludf.DUMMYFUNCTION("IMPORTRANGE(""https://docs.google.com/spreadsheets/d/1SX6NBoVAgQJ6U1MVXOaj8PK2l7WJ3RER9xtqwdhxkhw/edit?usp=sharing"",""สิงห์บุรี!I389"")"),0.0)</f>
        <v>0</v>
      </c>
      <c r="J494" s="469">
        <f>IFERROR(__xludf.DUMMYFUNCTION("IMPORTRANGE(""https://docs.google.com/spreadsheets/d/1SX6NBoVAgQJ6U1MVXOaj8PK2l7WJ3RER9xtqwdhxkhw/edit?usp=sharing"",""สิงห์บุรี!J389"")"),0.0)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IFERROR(__xludf.DUMMYFUNCTION("IMPORTRANGE(""https://docs.google.com/spreadsheets/d/1SX6NBoVAgQJ6U1MVXOaj8PK2l7WJ3RER9xtqwdhxkhw/edit?usp=sharing"",""สิงห์บุรี!I390"")"),0.0)</f>
        <v>0</v>
      </c>
      <c r="J495" s="469">
        <f>IFERROR(__xludf.DUMMYFUNCTION("IMPORTRANGE(""https://docs.google.com/spreadsheets/d/1SX6NBoVAgQJ6U1MVXOaj8PK2l7WJ3RER9xtqwdhxkhw/edit?usp=sharing"",""สิงห์บุรี!J390"")"),0.0)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IFERROR(__xludf.DUMMYFUNCTION("IMPORTRANGE(""https://docs.google.com/spreadsheets/d/1SX6NBoVAgQJ6U1MVXOaj8PK2l7WJ3RER9xtqwdhxkhw/edit?usp=sharing"",""สิงห์บุรี!I391"")"),0.0)</f>
        <v>0</v>
      </c>
      <c r="J496" s="469">
        <f>IFERROR(__xludf.DUMMYFUNCTION("IMPORTRANGE(""https://docs.google.com/spreadsheets/d/1SX6NBoVAgQJ6U1MVXOaj8PK2l7WJ3RER9xtqwdhxkhw/edit?usp=sharing"",""สิงห์บุรี!J391"")"),0.0)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IFERROR(__xludf.DUMMYFUNCTION("IMPORTRANGE(""https://docs.google.com/spreadsheets/d/1SX6NBoVAgQJ6U1MVXOaj8PK2l7WJ3RER9xtqwdhxkhw/edit?usp=sharing"",""สิงห์บุรี!I392"")"),0.0)</f>
        <v>0</v>
      </c>
      <c r="J497" s="476">
        <f>IFERROR(__xludf.DUMMYFUNCTION("IMPORTRANGE(""https://docs.google.com/spreadsheets/d/1SX6NBoVAgQJ6U1MVXOaj8PK2l7WJ3RER9xtqwdhxkhw/edit?usp=sharing"",""สิงห์บุรี!J392"")"),0.0)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IFERROR(__xludf.DUMMYFUNCTION("IMPORTRANGE(""https://docs.google.com/spreadsheets/d/1SX6NBoVAgQJ6U1MVXOaj8PK2l7WJ3RER9xtqwdhxkhw/edit?usp=sharing"",""สิงห์บุรี!I393"")"),0.0)</f>
        <v>0</v>
      </c>
      <c r="J498" s="453">
        <f>IFERROR(__xludf.DUMMYFUNCTION("IMPORTRANGE(""https://docs.google.com/spreadsheets/d/1SX6NBoVAgQJ6U1MVXOaj8PK2l7WJ3RER9xtqwdhxkhw/edit?usp=sharing"",""สิงห์บุรี!J393"")"),0.0)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IFERROR(__xludf.DUMMYFUNCTION("IMPORTRANGE(""https://docs.google.com/spreadsheets/d/1SX6NBoVAgQJ6U1MVXOaj8PK2l7WJ3RER9xtqwdhxkhw/edit?usp=sharing"",""สิงห์บุรี!I394"")"),0.0)</f>
        <v>0</v>
      </c>
      <c r="J499" s="453">
        <f>IFERROR(__xludf.DUMMYFUNCTION("IMPORTRANGE(""https://docs.google.com/spreadsheets/d/1SX6NBoVAgQJ6U1MVXOaj8PK2l7WJ3RER9xtqwdhxkhw/edit?usp=sharing"",""สิงห์บุรี!J394"")"),0.0)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IFERROR(__xludf.DUMMYFUNCTION("IMPORTRANGE(""https://docs.google.com/spreadsheets/d/1SX6NBoVAgQJ6U1MVXOaj8PK2l7WJ3RER9xtqwdhxkhw/edit?usp=sharing"",""สิงห์บุรี!I395"")"),0.0)</f>
        <v>0</v>
      </c>
      <c r="J500" s="195">
        <f>IFERROR(__xludf.DUMMYFUNCTION("IMPORTRANGE(""https://docs.google.com/spreadsheets/d/1SX6NBoVAgQJ6U1MVXOaj8PK2l7WJ3RER9xtqwdhxkhw/edit?usp=sharing"",""สิงห์บุรี!J395"")"),0.0)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IFERROR(__xludf.DUMMYFUNCTION("IMPORTRANGE(""https://docs.google.com/spreadsheets/d/1SX6NBoVAgQJ6U1MVXOaj8PK2l7WJ3RER9xtqwdhxkhw/edit?usp=sharing"",""สิงห์บุรี!I396"")"),0.0)</f>
        <v>0</v>
      </c>
      <c r="J501" s="195">
        <f>IFERROR(__xludf.DUMMYFUNCTION("IMPORTRANGE(""https://docs.google.com/spreadsheets/d/1SX6NBoVAgQJ6U1MVXOaj8PK2l7WJ3RER9xtqwdhxkhw/edit?usp=sharing"",""สิงห์บุรี!J396"")"),0.0)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IFERROR(__xludf.DUMMYFUNCTION("IMPORTRANGE(""https://docs.google.com/spreadsheets/d/1SX6NBoVAgQJ6U1MVXOaj8PK2l7WJ3RER9xtqwdhxkhw/edit?usp=sharing"",""สิงห์บุรี!I397"")"),0.0)</f>
        <v>0</v>
      </c>
      <c r="J502" s="223">
        <f>IFERROR(__xludf.DUMMYFUNCTION("IMPORTRANGE(""https://docs.google.com/spreadsheets/d/1SX6NBoVAgQJ6U1MVXOaj8PK2l7WJ3RER9xtqwdhxkhw/edit?usp=sharing"",""สิงห์บุรี!J397"")"),0.0)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IFERROR(__xludf.DUMMYFUNCTION("IMPORTRANGE(""https://docs.google.com/spreadsheets/d/1SX6NBoVAgQJ6U1MVXOaj8PK2l7WJ3RER9xtqwdhxkhw/edit?usp=sharing"",""สิงห์บุรี!I398"")"),0.0)</f>
        <v>0</v>
      </c>
      <c r="J503" s="232">
        <f>IFERROR(__xludf.DUMMYFUNCTION("IMPORTRANGE(""https://docs.google.com/spreadsheets/d/1SX6NBoVAgQJ6U1MVXOaj8PK2l7WJ3RER9xtqwdhxkhw/edit?usp=sharing"",""สิงห์บุรี!J398"")"),0.0)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IFERROR(__xludf.DUMMYFUNCTION("IMPORTRANGE(""https://docs.google.com/spreadsheets/d/1SX6NBoVAgQJ6U1MVXOaj8PK2l7WJ3RER9xtqwdhxkhw/edit?usp=sharing"",""สิงห์บุรี!I399"")"),0.0)</f>
        <v>0</v>
      </c>
      <c r="J504" s="223">
        <f>IFERROR(__xludf.DUMMYFUNCTION("IMPORTRANGE(""https://docs.google.com/spreadsheets/d/1SX6NBoVAgQJ6U1MVXOaj8PK2l7WJ3RER9xtqwdhxkhw/edit?usp=sharing"",""สิงห์บุรี!J399"")"),0.0)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IFERROR(__xludf.DUMMYFUNCTION("IMPORTRANGE(""https://docs.google.com/spreadsheets/d/1SX6NBoVAgQJ6U1MVXOaj8PK2l7WJ3RER9xtqwdhxkhw/edit?usp=sharing"",""สิงห์บุรี!I400"")"),0.0)</f>
        <v>0</v>
      </c>
      <c r="J505" s="232">
        <f>IFERROR(__xludf.DUMMYFUNCTION("IMPORTRANGE(""https://docs.google.com/spreadsheets/d/1SX6NBoVAgQJ6U1MVXOaj8PK2l7WJ3RER9xtqwdhxkhw/edit?usp=sharing"",""สิงห์บุรี!J400"")"),0.0)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IFERROR(__xludf.DUMMYFUNCTION("IMPORTRANGE(""https://docs.google.com/spreadsheets/d/1SX6NBoVAgQJ6U1MVXOaj8PK2l7WJ3RER9xtqwdhxkhw/edit?usp=sharing"",""สิงห์บุรี!I401"")"),0.0)</f>
        <v>0</v>
      </c>
      <c r="J506" s="223">
        <f>IFERROR(__xludf.DUMMYFUNCTION("IMPORTRANGE(""https://docs.google.com/spreadsheets/d/1SX6NBoVAgQJ6U1MVXOaj8PK2l7WJ3RER9xtqwdhxkhw/edit?usp=sharing"",""สิงห์บุรี!J401"")"),0.0)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IFERROR(__xludf.DUMMYFUNCTION("IMPORTRANGE(""https://docs.google.com/spreadsheets/d/1SX6NBoVAgQJ6U1MVXOaj8PK2l7WJ3RER9xtqwdhxkhw/edit?usp=sharing"",""สิงห์บุรี!I402"")"),0.0)</f>
        <v>0</v>
      </c>
      <c r="J507" s="232">
        <f>IFERROR(__xludf.DUMMYFUNCTION("IMPORTRANGE(""https://docs.google.com/spreadsheets/d/1SX6NBoVAgQJ6U1MVXOaj8PK2l7WJ3RER9xtqwdhxkhw/edit?usp=sharing"",""สิงห์บุรี!J402"")"),0.0)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IFERROR(__xludf.DUMMYFUNCTION("IMPORTRANGE(""https://docs.google.com/spreadsheets/d/1SX6NBoVAgQJ6U1MVXOaj8PK2l7WJ3RER9xtqwdhxkhw/edit?usp=sharing"",""สิงห์บุรี!I403"")"),0.0)</f>
        <v>0</v>
      </c>
      <c r="J508" s="195">
        <f>IFERROR(__xludf.DUMMYFUNCTION("IMPORTRANGE(""https://docs.google.com/spreadsheets/d/1SX6NBoVAgQJ6U1MVXOaj8PK2l7WJ3RER9xtqwdhxkhw/edit?usp=sharing"",""สิงห์บุรี!J403"")"),0.0)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IFERROR(__xludf.DUMMYFUNCTION("IMPORTRANGE(""https://docs.google.com/spreadsheets/d/1SX6NBoVAgQJ6U1MVXOaj8PK2l7WJ3RER9xtqwdhxkhw/edit?usp=sharing"",""สิงห์บุรี!I404"")"),0.0)</f>
        <v>0</v>
      </c>
      <c r="J509" s="195">
        <f>IFERROR(__xludf.DUMMYFUNCTION("IMPORTRANGE(""https://docs.google.com/spreadsheets/d/1SX6NBoVAgQJ6U1MVXOaj8PK2l7WJ3RER9xtqwdhxkhw/edit?usp=sharing"",""สิงห์บุรี!J404"")"),0.0)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IFERROR(__xludf.DUMMYFUNCTION("IMPORTRANGE(""https://docs.google.com/spreadsheets/d/1SX6NBoVAgQJ6U1MVXOaj8PK2l7WJ3RER9xtqwdhxkhw/edit?usp=sharing"",""สิงห์บุรี!I405"")"),0.0)</f>
        <v>0</v>
      </c>
      <c r="J510" s="232">
        <f>IFERROR(__xludf.DUMMYFUNCTION("IMPORTRANGE(""https://docs.google.com/spreadsheets/d/1SX6NBoVAgQJ6U1MVXOaj8PK2l7WJ3RER9xtqwdhxkhw/edit?usp=sharing"",""สิงห์บุรี!J405"")"),0.0)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IFERROR(__xludf.DUMMYFUNCTION("IMPORTRANGE(""https://docs.google.com/spreadsheets/d/1SX6NBoVAgQJ6U1MVXOaj8PK2l7WJ3RER9xtqwdhxkhw/edit?usp=sharing"",""สิงห์บุรี!I406"")"),0.0)</f>
        <v>0</v>
      </c>
      <c r="J511" s="232">
        <f>IFERROR(__xludf.DUMMYFUNCTION("IMPORTRANGE(""https://docs.google.com/spreadsheets/d/1SX6NBoVAgQJ6U1MVXOaj8PK2l7WJ3RER9xtqwdhxkhw/edit?usp=sharing"",""สิงห์บุรี!J406"")"),0.0)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IFERROR(__xludf.DUMMYFUNCTION("IMPORTRANGE(""https://docs.google.com/spreadsheets/d/1SX6NBoVAgQJ6U1MVXOaj8PK2l7WJ3RER9xtqwdhxkhw/edit?usp=sharing"",""สิงห์บุรี!I407"")"),0.0)</f>
        <v>0</v>
      </c>
      <c r="J512" s="232">
        <f>IFERROR(__xludf.DUMMYFUNCTION("IMPORTRANGE(""https://docs.google.com/spreadsheets/d/1SX6NBoVAgQJ6U1MVXOaj8PK2l7WJ3RER9xtqwdhxkhw/edit?usp=sharing"",""สิงห์บุรี!J407"")"),0.0)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IFERROR(__xludf.DUMMYFUNCTION("IMPORTRANGE(""https://docs.google.com/spreadsheets/d/1SX6NBoVAgQJ6U1MVXOaj8PK2l7WJ3RER9xtqwdhxkhw/edit?usp=sharing"",""สิงห์บุรี!I408"")"),0.0)</f>
        <v>0</v>
      </c>
      <c r="J513" s="232">
        <f>IFERROR(__xludf.DUMMYFUNCTION("IMPORTRANGE(""https://docs.google.com/spreadsheets/d/1SX6NBoVAgQJ6U1MVXOaj8PK2l7WJ3RER9xtqwdhxkhw/edit?usp=sharing"",""สิงห์บุรี!J408"")"),0.0)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IFERROR(__xludf.DUMMYFUNCTION("IMPORTRANGE(""https://docs.google.com/spreadsheets/d/1SX6NBoVAgQJ6U1MVXOaj8PK2l7WJ3RER9xtqwdhxkhw/edit?usp=sharing"",""สิงห์บุรี!I409"")"),0.0)</f>
        <v>0</v>
      </c>
      <c r="J514" s="232">
        <f>IFERROR(__xludf.DUMMYFUNCTION("IMPORTRANGE(""https://docs.google.com/spreadsheets/d/1SX6NBoVAgQJ6U1MVXOaj8PK2l7WJ3RER9xtqwdhxkhw/edit?usp=sharing"",""สิงห์บุรี!J409"")"),0.0)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IFERROR(__xludf.DUMMYFUNCTION("IMPORTRANGE(""https://docs.google.com/spreadsheets/d/1SX6NBoVAgQJ6U1MVXOaj8PK2l7WJ3RER9xtqwdhxkhw/edit?usp=sharing"",""สิงห์บุรี!I410"")"),0.0)</f>
        <v>0</v>
      </c>
      <c r="J515" s="232">
        <f>IFERROR(__xludf.DUMMYFUNCTION("IMPORTRANGE(""https://docs.google.com/spreadsheets/d/1SX6NBoVAgQJ6U1MVXOaj8PK2l7WJ3RER9xtqwdhxkhw/edit?usp=sharing"",""สิงห์บุรี!J410"")"),0.0)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IFERROR(__xludf.DUMMYFUNCTION("IMPORTRANGE(""https://docs.google.com/spreadsheets/d/1SX6NBoVAgQJ6U1MVXOaj8PK2l7WJ3RER9xtqwdhxkhw/edit?usp=sharing"",""สิงห์บุรี!I411"")"),0.0)</f>
        <v>0</v>
      </c>
      <c r="J516" s="301">
        <f>IFERROR(__xludf.DUMMYFUNCTION("IMPORTRANGE(""https://docs.google.com/spreadsheets/d/1SX6NBoVAgQJ6U1MVXOaj8PK2l7WJ3RER9xtqwdhxkhw/edit?usp=sharing"",""สิงห์บุรี!J411"")"),0.0)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IFERROR(__xludf.DUMMYFUNCTION("IMPORTRANGE(""https://docs.google.com/spreadsheets/d/1SX6NBoVAgQJ6U1MVXOaj8PK2l7WJ3RER9xtqwdhxkhw/edit?usp=sharing"",""สิงห์บุรี!I412"")"),0.0)</f>
        <v>0</v>
      </c>
      <c r="J517" s="317">
        <f>IFERROR(__xludf.DUMMYFUNCTION("IMPORTRANGE(""https://docs.google.com/spreadsheets/d/1SX6NBoVAgQJ6U1MVXOaj8PK2l7WJ3RER9xtqwdhxkhw/edit?usp=sharing"",""สิงห์บุรี!J412"")"),0.0)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IFERROR(__xludf.DUMMYFUNCTION("IMPORTRANGE(""https://docs.google.com/spreadsheets/d/1SX6NBoVAgQJ6U1MVXOaj8PK2l7WJ3RER9xtqwdhxkhw/edit?usp=sharing"",""สิงห์บุรี!I413"")"),0.0)</f>
        <v>0</v>
      </c>
      <c r="J518" s="317">
        <f>IFERROR(__xludf.DUMMYFUNCTION("IMPORTRANGE(""https://docs.google.com/spreadsheets/d/1SX6NBoVAgQJ6U1MVXOaj8PK2l7WJ3RER9xtqwdhxkhw/edit?usp=sharing"",""สิงห์บุรี!J413"")"),0.0)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IFERROR(__xludf.DUMMYFUNCTION("IMPORTRANGE(""https://docs.google.com/spreadsheets/d/1SX6NBoVAgQJ6U1MVXOaj8PK2l7WJ3RER9xtqwdhxkhw/edit?usp=sharing"",""สิงห์บุรี!I414"")"),0.0)</f>
        <v>0</v>
      </c>
      <c r="J519" s="222">
        <f>IFERROR(__xludf.DUMMYFUNCTION("IMPORTRANGE(""https://docs.google.com/spreadsheets/d/1SX6NBoVAgQJ6U1MVXOaj8PK2l7WJ3RER9xtqwdhxkhw/edit?usp=sharing"",""สิงห์บุรี!J414"")"),0.0)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IFERROR(__xludf.DUMMYFUNCTION("IMPORTRANGE(""https://docs.google.com/spreadsheets/d/1SX6NBoVAgQJ6U1MVXOaj8PK2l7WJ3RER9xtqwdhxkhw/edit?usp=sharing"",""สิงห์บุรี!I415"")"),0.0)</f>
        <v>0</v>
      </c>
      <c r="J520" s="222">
        <f>IFERROR(__xludf.DUMMYFUNCTION("IMPORTRANGE(""https://docs.google.com/spreadsheets/d/1SX6NBoVAgQJ6U1MVXOaj8PK2l7WJ3RER9xtqwdhxkhw/edit?usp=sharing"",""สิงห์บุรี!J415"")"),0.0)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IFERROR(__xludf.DUMMYFUNCTION("IMPORTRANGE(""https://docs.google.com/spreadsheets/d/1SX6NBoVAgQJ6U1MVXOaj8PK2l7WJ3RER9xtqwdhxkhw/edit?usp=sharing"",""สิงห์บุรี!I416"")"),0.0)</f>
        <v>0</v>
      </c>
      <c r="J521" s="222">
        <f>IFERROR(__xludf.DUMMYFUNCTION("IMPORTRANGE(""https://docs.google.com/spreadsheets/d/1SX6NBoVAgQJ6U1MVXOaj8PK2l7WJ3RER9xtqwdhxkhw/edit?usp=sharing"",""สิงห์บุรี!J416"")"),0.0)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IFERROR(__xludf.DUMMYFUNCTION("IMPORTRANGE(""https://docs.google.com/spreadsheets/d/1SX6NBoVAgQJ6U1MVXOaj8PK2l7WJ3RER9xtqwdhxkhw/edit?usp=sharing"",""สิงห์บุรี!I417"")"),0.0)</f>
        <v>0</v>
      </c>
      <c r="J522" s="222">
        <f>IFERROR(__xludf.DUMMYFUNCTION("IMPORTRANGE(""https://docs.google.com/spreadsheets/d/1SX6NBoVAgQJ6U1MVXOaj8PK2l7WJ3RER9xtqwdhxkhw/edit?usp=sharing"",""สิงห์บุรี!J417"")"),0.0)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IFERROR(__xludf.DUMMYFUNCTION("IMPORTRANGE(""https://docs.google.com/spreadsheets/d/1SX6NBoVAgQJ6U1MVXOaj8PK2l7WJ3RER9xtqwdhxkhw/edit?usp=sharing"",""สิงห์บุรี!I418"")"),0.0)</f>
        <v>0</v>
      </c>
      <c r="J523" s="222">
        <f>IFERROR(__xludf.DUMMYFUNCTION("IMPORTRANGE(""https://docs.google.com/spreadsheets/d/1SX6NBoVAgQJ6U1MVXOaj8PK2l7WJ3RER9xtqwdhxkhw/edit?usp=sharing"",""สิงห์บุรี!J418"")"),0.0)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IFERROR(__xludf.DUMMYFUNCTION("IMPORTRANGE(""https://docs.google.com/spreadsheets/d/1SX6NBoVAgQJ6U1MVXOaj8PK2l7WJ3RER9xtqwdhxkhw/edit?usp=sharing"",""สิงห์บุรี!I419"")"),0.0)</f>
        <v>0</v>
      </c>
      <c r="J524" s="222">
        <f>IFERROR(__xludf.DUMMYFUNCTION("IMPORTRANGE(""https://docs.google.com/spreadsheets/d/1SX6NBoVAgQJ6U1MVXOaj8PK2l7WJ3RER9xtqwdhxkhw/edit?usp=sharing"",""สิงห์บุรี!J419"")"),0.0)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IFERROR(__xludf.DUMMYFUNCTION("IMPORTRANGE(""https://docs.google.com/spreadsheets/d/1SX6NBoVAgQJ6U1MVXOaj8PK2l7WJ3RER9xtqwdhxkhw/edit?usp=sharing"",""สิงห์บุรี!I420"")"),0.0)</f>
        <v>0</v>
      </c>
      <c r="J525" s="317">
        <f>IFERROR(__xludf.DUMMYFUNCTION("IMPORTRANGE(""https://docs.google.com/spreadsheets/d/1SX6NBoVAgQJ6U1MVXOaj8PK2l7WJ3RER9xtqwdhxkhw/edit?usp=sharing"",""สิงห์บุรี!J420"")"),0.0)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IFERROR(__xludf.DUMMYFUNCTION("IMPORTRANGE(""https://docs.google.com/spreadsheets/d/1SX6NBoVAgQJ6U1MVXOaj8PK2l7WJ3RER9xtqwdhxkhw/edit?usp=sharing"",""สิงห์บุรี!I421"")"),0.0)</f>
        <v>0</v>
      </c>
      <c r="J526" s="317">
        <f>IFERROR(__xludf.DUMMYFUNCTION("IMPORTRANGE(""https://docs.google.com/spreadsheets/d/1SX6NBoVAgQJ6U1MVXOaj8PK2l7WJ3RER9xtqwdhxkhw/edit?usp=sharing"",""สิงห์บุรี!J421"")"),0.0)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IFERROR(__xludf.DUMMYFUNCTION("IMPORTRANGE(""https://docs.google.com/spreadsheets/d/1SX6NBoVAgQJ6U1MVXOaj8PK2l7WJ3RER9xtqwdhxkhw/edit?usp=sharing"",""สิงห์บุรี!I422"")"),0.0)</f>
        <v>0</v>
      </c>
      <c r="J527" s="232">
        <f>IFERROR(__xludf.DUMMYFUNCTION("IMPORTRANGE(""https://docs.google.com/spreadsheets/d/1SX6NBoVAgQJ6U1MVXOaj8PK2l7WJ3RER9xtqwdhxkhw/edit?usp=sharing"",""สิงห์บุรี!J422"")"),0.0)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IFERROR(__xludf.DUMMYFUNCTION("IMPORTRANGE(""https://docs.google.com/spreadsheets/d/1SX6NBoVAgQJ6U1MVXOaj8PK2l7WJ3RER9xtqwdhxkhw/edit?usp=sharing"",""สิงห์บุรี!I423"")"),0.0)</f>
        <v>0</v>
      </c>
      <c r="J528" s="232">
        <f>IFERROR(__xludf.DUMMYFUNCTION("IMPORTRANGE(""https://docs.google.com/spreadsheets/d/1SX6NBoVAgQJ6U1MVXOaj8PK2l7WJ3RER9xtqwdhxkhw/edit?usp=sharing"",""สิงห์บุรี!J423"")"),0.0)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IFERROR(__xludf.DUMMYFUNCTION("IMPORTRANGE(""https://docs.google.com/spreadsheets/d/1SX6NBoVAgQJ6U1MVXOaj8PK2l7WJ3RER9xtqwdhxkhw/edit?usp=sharing"",""สิงห์บุรี!I424"")"),0.0)</f>
        <v>0</v>
      </c>
      <c r="J529" s="232">
        <f>IFERROR(__xludf.DUMMYFUNCTION("IMPORTRANGE(""https://docs.google.com/spreadsheets/d/1SX6NBoVAgQJ6U1MVXOaj8PK2l7WJ3RER9xtqwdhxkhw/edit?usp=sharing"",""สิงห์บุรี!J424"")"),0.0)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IFERROR(__xludf.DUMMYFUNCTION("IMPORTRANGE(""https://docs.google.com/spreadsheets/d/1SX6NBoVAgQJ6U1MVXOaj8PK2l7WJ3RER9xtqwdhxkhw/edit?usp=sharing"",""สิงห์บุรี!I425"")"),0.0)</f>
        <v>0</v>
      </c>
      <c r="J530" s="232">
        <f>IFERROR(__xludf.DUMMYFUNCTION("IMPORTRANGE(""https://docs.google.com/spreadsheets/d/1SX6NBoVAgQJ6U1MVXOaj8PK2l7WJ3RER9xtqwdhxkhw/edit?usp=sharing"",""สิงห์บุรี!J425"")"),0.0)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IFERROR(__xludf.DUMMYFUNCTION("IMPORTRANGE(""https://docs.google.com/spreadsheets/d/1SX6NBoVAgQJ6U1MVXOaj8PK2l7WJ3RER9xtqwdhxkhw/edit?usp=sharing"",""สิงห์บุรี!I426"")"),0.0)</f>
        <v>0</v>
      </c>
      <c r="J531" s="232">
        <f>IFERROR(__xludf.DUMMYFUNCTION("IMPORTRANGE(""https://docs.google.com/spreadsheets/d/1SX6NBoVAgQJ6U1MVXOaj8PK2l7WJ3RER9xtqwdhxkhw/edit?usp=sharing"",""สิงห์บุรี!J426"")"),0.0)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IFERROR(__xludf.DUMMYFUNCTION("IMPORTRANGE(""https://docs.google.com/spreadsheets/d/1SX6NBoVAgQJ6U1MVXOaj8PK2l7WJ3RER9xtqwdhxkhw/edit?usp=sharing"",""สิงห์บุรี!I427"")"),0.0)</f>
        <v>0</v>
      </c>
      <c r="J532" s="499">
        <f>IFERROR(__xludf.DUMMYFUNCTION("IMPORTRANGE(""https://docs.google.com/spreadsheets/d/1SX6NBoVAgQJ6U1MVXOaj8PK2l7WJ3RER9xtqwdhxkhw/edit?usp=sharing"",""สิงห์บุรี!J427"")"),0.0)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IFERROR(__xludf.DUMMYFUNCTION("IMPORTRANGE(""https://docs.google.com/spreadsheets/d/1SX6NBoVAgQJ6U1MVXOaj8PK2l7WJ3RER9xtqwdhxkhw/edit?usp=sharing"",""สิงห์บุรี!I428"")"),10.0)</f>
        <v>10</v>
      </c>
      <c r="J533" s="443">
        <f>IFERROR(__xludf.DUMMYFUNCTION("IMPORTRANGE(""https://docs.google.com/spreadsheets/d/1SX6NBoVAgQJ6U1MVXOaj8PK2l7WJ3RER9xtqwdhxkhw/edit?usp=sharing"",""สิงห์บุรี!J428"")"),10.0)</f>
        <v>10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IFERROR(__xludf.DUMMYFUNCTION("IMPORTRANGE(""https://docs.google.com/spreadsheets/d/1SX6NBoVAgQJ6U1MVXOaj8PK2l7WJ3RER9xtqwdhxkhw/edit?usp=sharing"",""สิงห์บุรี!L428"")"),24140.0)</f>
        <v>24140</v>
      </c>
      <c r="M533" s="445"/>
      <c r="N533" s="445">
        <f>IFERROR(__xludf.DUMMYFUNCTION("IMPORTRANGE(""https://docs.google.com/spreadsheets/d/1SX6NBoVAgQJ6U1MVXOaj8PK2l7WJ3RER9xtqwdhxkhw/edit?usp=sharing"",""สิงห์บุรี!M428"")"),23055.0)</f>
        <v>23055</v>
      </c>
      <c r="O533" s="445">
        <f t="shared" ref="O533:O537" si="119">+IF(L533&gt;0,N533*100/L533,0)</f>
        <v>95.50538525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IFERROR(__xludf.DUMMYFUNCTION("IMPORTRANGE(""https://docs.google.com/spreadsheets/d/1SX6NBoVAgQJ6U1MVXOaj8PK2l7WJ3RER9xtqwdhxkhw/edit?usp=sharing"",""สิงห์บุรี!L429"")"),0.0)</f>
        <v>0</v>
      </c>
      <c r="M534" s="197"/>
      <c r="N534" s="203">
        <f>IFERROR(__xludf.DUMMYFUNCTION("IMPORTRANGE(""https://docs.google.com/spreadsheets/d/1SX6NBoVAgQJ6U1MVXOaj8PK2l7WJ3RER9xtqwdhxkhw/edit?usp=sharing"",""สิงห์บุรี!M429"")"),0.0)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IFERROR(__xludf.DUMMYFUNCTION("IMPORTRANGE(""https://docs.google.com/spreadsheets/d/1SX6NBoVAgQJ6U1MVXOaj8PK2l7WJ3RER9xtqwdhxkhw/edit?usp=sharing"",""สิงห์บุรี!L430"")"),24140.0)</f>
        <v>24140</v>
      </c>
      <c r="M535" s="198"/>
      <c r="N535" s="203">
        <f>IFERROR(__xludf.DUMMYFUNCTION("IMPORTRANGE(""https://docs.google.com/spreadsheets/d/1SX6NBoVAgQJ6U1MVXOaj8PK2l7WJ3RER9xtqwdhxkhw/edit?usp=sharing"",""สิงห์บุรี!M430"")"),23055.0)</f>
        <v>23055</v>
      </c>
      <c r="O535" s="203">
        <f t="shared" si="119"/>
        <v>95.50538525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IFERROR(__xludf.DUMMYFUNCTION("IMPORTRANGE(""https://docs.google.com/spreadsheets/d/1SX6NBoVAgQJ6U1MVXOaj8PK2l7WJ3RER9xtqwdhxkhw/edit?usp=sharing"",""สิงห์บุรี!L431"")"),0.0)</f>
        <v>0</v>
      </c>
      <c r="M536" s="203"/>
      <c r="N536" s="203">
        <f>IFERROR(__xludf.DUMMYFUNCTION("IMPORTRANGE(""https://docs.google.com/spreadsheets/d/1SX6NBoVAgQJ6U1MVXOaj8PK2l7WJ3RER9xtqwdhxkhw/edit?usp=sharing"",""สิงห์บุรี!M431"")"),0.0)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IFERROR(__xludf.DUMMYFUNCTION("IMPORTRANGE(""https://docs.google.com/spreadsheets/d/1SX6NBoVAgQJ6U1MVXOaj8PK2l7WJ3RER9xtqwdhxkhw/edit?usp=sharing"",""สิงห์บุรี!L432"")"),24140.0)</f>
        <v>24140</v>
      </c>
      <c r="M537" s="203"/>
      <c r="N537" s="203">
        <f>IFERROR(__xludf.DUMMYFUNCTION("IMPORTRANGE(""https://docs.google.com/spreadsheets/d/1SX6NBoVAgQJ6U1MVXOaj8PK2l7WJ3RER9xtqwdhxkhw/edit?usp=sharing"",""สิงห์บุรี!M432"")"),23055.0)</f>
        <v>23055</v>
      </c>
      <c r="O537" s="203">
        <f t="shared" si="119"/>
        <v>95.50538525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IFERROR(__xludf.DUMMYFUNCTION("IMPORTRANGE(""https://docs.google.com/spreadsheets/d/1SX6NBoVAgQJ6U1MVXOaj8PK2l7WJ3RER9xtqwdhxkhw/edit?usp=sharing"",""สิงห์บุรี!M433"")"),8540.0)</f>
        <v>8540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IFERROR(__xludf.DUMMYFUNCTION("IMPORTRANGE(""https://docs.google.com/spreadsheets/d/1SX6NBoVAgQJ6U1MVXOaj8PK2l7WJ3RER9xtqwdhxkhw/edit?usp=sharing"",""สิงห์บุรี!M434"")"),0.0)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IFERROR(__xludf.DUMMYFUNCTION("IMPORTRANGE(""https://docs.google.com/spreadsheets/d/1SX6NBoVAgQJ6U1MVXOaj8PK2l7WJ3RER9xtqwdhxkhw/edit?usp=sharing"",""สิงห์บุรี!M435"")"),0.0)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IFERROR(__xludf.DUMMYFUNCTION("IMPORTRANGE(""https://docs.google.com/spreadsheets/d/1SX6NBoVAgQJ6U1MVXOaj8PK2l7WJ3RER9xtqwdhxkhw/edit?usp=sharing"",""สิงห์บุรี!M436"")"),14515.0)</f>
        <v>14515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IFERROR(__xludf.DUMMYFUNCTION("IMPORTRANGE(""https://docs.google.com/spreadsheets/d/1SX6NBoVAgQJ6U1MVXOaj8PK2l7WJ3RER9xtqwdhxkhw/edit?usp=sharing"",""สิงห์บุรี!J438"")"),0.0)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 t="str">
        <f>IFERROR(__xludf.DUMMYFUNCTION("IMPORTRANGE(""https://docs.google.com/spreadsheets/d/1SX6NBoVAgQJ6U1MVXOaj8PK2l7WJ3RER9xtqwdhxkhw/edit?usp=sharing"",""สิงห์บุรี!J439"")"),"")</f>
        <v/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 t="str">
        <f>IFERROR(__xludf.DUMMYFUNCTION("IMPORTRANGE(""https://docs.google.com/spreadsheets/d/1SX6NBoVAgQJ6U1MVXOaj8PK2l7WJ3RER9xtqwdhxkhw/edit?usp=sharing"",""สิงห์บุรี!J440"")"),"")</f>
        <v/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 t="str">
        <f>IFERROR(__xludf.DUMMYFUNCTION("IMPORTRANGE(""https://docs.google.com/spreadsheets/d/1SX6NBoVAgQJ6U1MVXOaj8PK2l7WJ3RER9xtqwdhxkhw/edit?usp=sharing"",""สิงห์บุรี!J441"")"),"")</f>
        <v/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IFERROR(__xludf.DUMMYFUNCTION("IMPORTRANGE(""https://docs.google.com/spreadsheets/d/1SX6NBoVAgQJ6U1MVXOaj8PK2l7WJ3RER9xtqwdhxkhw/edit?usp=sharing"",""สิงห์บุรี!I442"")"),10.0)</f>
        <v>10</v>
      </c>
      <c r="J547" s="223">
        <f>IFERROR(__xludf.DUMMYFUNCTION("IMPORTRANGE(""https://docs.google.com/spreadsheets/d/1SX6NBoVAgQJ6U1MVXOaj8PK2l7WJ3RER9xtqwdhxkhw/edit?usp=sharing"",""สิงห์บุรี!J442"")"),10.0)</f>
        <v>10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IFERROR(__xludf.DUMMYFUNCTION("IMPORTRANGE(""https://docs.google.com/spreadsheets/d/1SX6NBoVAgQJ6U1MVXOaj8PK2l7WJ3RER9xtqwdhxkhw/edit?usp=sharing"",""สิงห์บุรี!J166"")"),0.0)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IFERROR(__xludf.DUMMYFUNCTION("IMPORTRANGE(""https://docs.google.com/spreadsheets/d/1SX6NBoVAgQJ6U1MVXOaj8PK2l7WJ3RER9xtqwdhxkhw/edit?usp=sharing"",""สิงห์บุรี!J444"")"),0.0)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IFERROR(__xludf.DUMMYFUNCTION("IMPORTRANGE(""https://docs.google.com/spreadsheets/d/1SX6NBoVAgQJ6U1MVXOaj8PK2l7WJ3RER9xtqwdhxkhw/edit?usp=sharing"",""สิงห์บุรี!J445"")"),1.0)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IFERROR(__xludf.DUMMYFUNCTION("IMPORTRANGE(""https://docs.google.com/spreadsheets/d/1SX6NBoVAgQJ6U1MVXOaj8PK2l7WJ3RER9xtqwdhxkhw/edit?usp=sharing"",""สิงห์บุรี!I446"")"),0.0)</f>
        <v>0</v>
      </c>
      <c r="J551" s="443">
        <f>IFERROR(__xludf.DUMMYFUNCTION("IMPORTRANGE(""https://docs.google.com/spreadsheets/d/1SX6NBoVAgQJ6U1MVXOaj8PK2l7WJ3RER9xtqwdhxkhw/edit?usp=sharing"",""สิงห์บุรี!J446"")"),0.0)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IFERROR(__xludf.DUMMYFUNCTION("IMPORTRANGE(""https://docs.google.com/spreadsheets/d/1SX6NBoVAgQJ6U1MVXOaj8PK2l7WJ3RER9xtqwdhxkhw/edit?usp=sharing"",""สิงห์บุรี!L446"")"),0.0)</f>
        <v>0</v>
      </c>
      <c r="M551" s="445"/>
      <c r="N551" s="445">
        <f>IFERROR(__xludf.DUMMYFUNCTION("IMPORTRANGE(""https://docs.google.com/spreadsheets/d/1SX6NBoVAgQJ6U1MVXOaj8PK2l7WJ3RER9xtqwdhxkhw/edit?usp=sharing"",""สิงห์บุรี!M446"")"),0.0)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IFERROR(__xludf.DUMMYFUNCTION("IMPORTRANGE(""https://docs.google.com/spreadsheets/d/1SX6NBoVAgQJ6U1MVXOaj8PK2l7WJ3RER9xtqwdhxkhw/edit?usp=sharing"",""สิงห์บุรี!L447"")"),0.0)</f>
        <v>0</v>
      </c>
      <c r="M552" s="197"/>
      <c r="N552" s="203">
        <f>IFERROR(__xludf.DUMMYFUNCTION("IMPORTRANGE(""https://docs.google.com/spreadsheets/d/1SX6NBoVAgQJ6U1MVXOaj8PK2l7WJ3RER9xtqwdhxkhw/edit?usp=sharing"",""สิงห์บุรี!M447"")"),0.0)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IFERROR(__xludf.DUMMYFUNCTION("IMPORTRANGE(""https://docs.google.com/spreadsheets/d/1SX6NBoVAgQJ6U1MVXOaj8PK2l7WJ3RER9xtqwdhxkhw/edit?usp=sharing"",""สิงห์บุรี!L448"")"),0.0)</f>
        <v>0</v>
      </c>
      <c r="M553" s="198"/>
      <c r="N553" s="203">
        <f>IFERROR(__xludf.DUMMYFUNCTION("IMPORTRANGE(""https://docs.google.com/spreadsheets/d/1SX6NBoVAgQJ6U1MVXOaj8PK2l7WJ3RER9xtqwdhxkhw/edit?usp=sharing"",""สิงห์บุรี!M448"")"),0.0)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IFERROR(__xludf.DUMMYFUNCTION("IMPORTRANGE(""https://docs.google.com/spreadsheets/d/1SX6NBoVAgQJ6U1MVXOaj8PK2l7WJ3RER9xtqwdhxkhw/edit?usp=sharing"",""สิงห์บุรี!L449"")"),0.0)</f>
        <v>0</v>
      </c>
      <c r="M554" s="203"/>
      <c r="N554" s="203">
        <f>IFERROR(__xludf.DUMMYFUNCTION("IMPORTRANGE(""https://docs.google.com/spreadsheets/d/1SX6NBoVAgQJ6U1MVXOaj8PK2l7WJ3RER9xtqwdhxkhw/edit?usp=sharing"",""สิงห์บุรี!M449"")"),0.0)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IFERROR(__xludf.DUMMYFUNCTION("IMPORTRANGE(""https://docs.google.com/spreadsheets/d/1SX6NBoVAgQJ6U1MVXOaj8PK2l7WJ3RER9xtqwdhxkhw/edit?usp=sharing"",""สิงห์บุรี!L450"")"),0.0)</f>
        <v>0</v>
      </c>
      <c r="M555" s="203"/>
      <c r="N555" s="203">
        <f>IFERROR(__xludf.DUMMYFUNCTION("IMPORTRANGE(""https://docs.google.com/spreadsheets/d/1SX6NBoVAgQJ6U1MVXOaj8PK2l7WJ3RER9xtqwdhxkhw/edit?usp=sharing"",""สิงห์บุรี!M450"")"),0.0)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IFERROR(__xludf.DUMMYFUNCTION("IMPORTRANGE(""https://docs.google.com/spreadsheets/d/1SX6NBoVAgQJ6U1MVXOaj8PK2l7WJ3RER9xtqwdhxkhw/edit?usp=sharing"",""สิงห์บุรี!M451"")"),0.0)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IFERROR(__xludf.DUMMYFUNCTION("IMPORTRANGE(""https://docs.google.com/spreadsheets/d/1SX6NBoVAgQJ6U1MVXOaj8PK2l7WJ3RER9xtqwdhxkhw/edit?usp=sharing"",""สิงห์บุรี!M452"")"),0.0)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IFERROR(__xludf.DUMMYFUNCTION("IMPORTRANGE(""https://docs.google.com/spreadsheets/d/1SX6NBoVAgQJ6U1MVXOaj8PK2l7WJ3RER9xtqwdhxkhw/edit?usp=sharing"",""สิงห์บุรี!M453"")"),0.0)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IFERROR(__xludf.DUMMYFUNCTION("IMPORTRANGE(""https://docs.google.com/spreadsheets/d/1SX6NBoVAgQJ6U1MVXOaj8PK2l7WJ3RER9xtqwdhxkhw/edit?usp=sharing"",""สิงห์บุรี!M454"")"),0.0)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IFERROR(__xludf.DUMMYFUNCTION("IMPORTRANGE(""https://docs.google.com/spreadsheets/d/1SX6NBoVAgQJ6U1MVXOaj8PK2l7WJ3RER9xtqwdhxkhw/edit?usp=sharing"",""สิงห์บุรี!I455"")"),0.0)</f>
        <v>0</v>
      </c>
      <c r="J560" s="195">
        <f>IFERROR(__xludf.DUMMYFUNCTION("IMPORTRANGE(""https://docs.google.com/spreadsheets/d/1SX6NBoVAgQJ6U1MVXOaj8PK2l7WJ3RER9xtqwdhxkhw/edit?usp=sharing"",""สิงห์บุรี!J455"")"),0.0)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IFERROR(__xludf.DUMMYFUNCTION("IMPORTRANGE(""https://docs.google.com/spreadsheets/d/1SX6NBoVAgQJ6U1MVXOaj8PK2l7WJ3RER9xtqwdhxkhw/edit?usp=sharing"",""สิงห์บุรี!I456"")"),0.0)</f>
        <v>0</v>
      </c>
      <c r="J561" s="238">
        <f>IFERROR(__xludf.DUMMYFUNCTION("IMPORTRANGE(""https://docs.google.com/spreadsheets/d/1SX6NBoVAgQJ6U1MVXOaj8PK2l7WJ3RER9xtqwdhxkhw/edit?usp=sharing"",""สิงห์บุรี!J456"")"),0.0)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IFERROR(__xludf.DUMMYFUNCTION("IMPORTRANGE(""https://docs.google.com/spreadsheets/d/1SX6NBoVAgQJ6U1MVXOaj8PK2l7WJ3RER9xtqwdhxkhw/edit?usp=sharing"",""สิงห์บุรี!I457"")"),"")</f>
        <v/>
      </c>
      <c r="J562" s="238" t="str">
        <f>IFERROR(__xludf.DUMMYFUNCTION("IMPORTRANGE(""https://docs.google.com/spreadsheets/d/1SX6NBoVAgQJ6U1MVXOaj8PK2l7WJ3RER9xtqwdhxkhw/edit?usp=sharing"",""สิงห์บุรี!J457"")"),"")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IFERROR(__xludf.DUMMYFUNCTION("IMPORTRANGE(""https://docs.google.com/spreadsheets/d/1SX6NBoVAgQJ6U1MVXOaj8PK2l7WJ3RER9xtqwdhxkhw/edit?usp=sharing"",""สิงห์บุรี!I458"")"),"")</f>
        <v/>
      </c>
      <c r="J563" s="222" t="str">
        <f>IFERROR(__xludf.DUMMYFUNCTION("IMPORTRANGE(""https://docs.google.com/spreadsheets/d/1SX6NBoVAgQJ6U1MVXOaj8PK2l7WJ3RER9xtqwdhxkhw/edit?usp=sharing"",""สิงห์บุรี!J458"")"),"")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IFERROR(__xludf.DUMMYFUNCTION("IMPORTRANGE(""https://docs.google.com/spreadsheets/d/1SX6NBoVAgQJ6U1MVXOaj8PK2l7WJ3RER9xtqwdhxkhw/edit?usp=sharing"",""สิงห์บุรี!I459"")"),20.0)</f>
        <v>20</v>
      </c>
      <c r="J564" s="404">
        <f>IFERROR(__xludf.DUMMYFUNCTION("IMPORTRANGE(""https://docs.google.com/spreadsheets/d/1SX6NBoVAgQJ6U1MVXOaj8PK2l7WJ3RER9xtqwdhxkhw/edit?usp=sharing"",""สิงห์บุรี!J459"")"),5.0)</f>
        <v>5</v>
      </c>
      <c r="K564" s="405">
        <f t="shared" si="122"/>
        <v>25</v>
      </c>
      <c r="L564" s="406">
        <f>IFERROR(__xludf.DUMMYFUNCTION("IMPORTRANGE(""https://docs.google.com/spreadsheets/d/1SX6NBoVAgQJ6U1MVXOaj8PK2l7WJ3RER9xtqwdhxkhw/edit?usp=sharing"",""สิงห์บุรี!L459"")"),117840.0)</f>
        <v>117840</v>
      </c>
      <c r="M564" s="406"/>
      <c r="N564" s="406">
        <f>IFERROR(__xludf.DUMMYFUNCTION("IMPORTRANGE(""https://docs.google.com/spreadsheets/d/1SX6NBoVAgQJ6U1MVXOaj8PK2l7WJ3RER9xtqwdhxkhw/edit?usp=sharing"",""สิงห์บุรี!M459"")"),21633.33)</f>
        <v>21633.33</v>
      </c>
      <c r="O564" s="406">
        <f t="shared" ref="O564:O568" si="123">+IF(L564&gt;0,N564*100/L564,0)</f>
        <v>18.35822301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IFERROR(__xludf.DUMMYFUNCTION("IMPORTRANGE(""https://docs.google.com/spreadsheets/d/1SX6NBoVAgQJ6U1MVXOaj8PK2l7WJ3RER9xtqwdhxkhw/edit?usp=sharing"",""สิงห์บุรี!L460"")"),0.0)</f>
        <v>0</v>
      </c>
      <c r="M565" s="197"/>
      <c r="N565" s="203">
        <f>IFERROR(__xludf.DUMMYFUNCTION("IMPORTRANGE(""https://docs.google.com/spreadsheets/d/1SX6NBoVAgQJ6U1MVXOaj8PK2l7WJ3RER9xtqwdhxkhw/edit?usp=sharing"",""สิงห์บุรี!M460"")"),0.0)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IFERROR(__xludf.DUMMYFUNCTION("IMPORTRANGE(""https://docs.google.com/spreadsheets/d/1SX6NBoVAgQJ6U1MVXOaj8PK2l7WJ3RER9xtqwdhxkhw/edit?usp=sharing"",""สิงห์บุรี!L461"")"),117840.0)</f>
        <v>117840</v>
      </c>
      <c r="M566" s="198"/>
      <c r="N566" s="203">
        <f>IFERROR(__xludf.DUMMYFUNCTION("IMPORTRANGE(""https://docs.google.com/spreadsheets/d/1SX6NBoVAgQJ6U1MVXOaj8PK2l7WJ3RER9xtqwdhxkhw/edit?usp=sharing"",""สิงห์บุรี!M461"")"),21633.33)</f>
        <v>21633.33</v>
      </c>
      <c r="O566" s="203">
        <f t="shared" si="123"/>
        <v>18.35822301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IFERROR(__xludf.DUMMYFUNCTION("IMPORTRANGE(""https://docs.google.com/spreadsheets/d/1SX6NBoVAgQJ6U1MVXOaj8PK2l7WJ3RER9xtqwdhxkhw/edit?usp=sharing"",""สิงห์บุรี!L462"")"),0.0)</f>
        <v>0</v>
      </c>
      <c r="M567" s="203"/>
      <c r="N567" s="203">
        <f>IFERROR(__xludf.DUMMYFUNCTION("IMPORTRANGE(""https://docs.google.com/spreadsheets/d/1SX6NBoVAgQJ6U1MVXOaj8PK2l7WJ3RER9xtqwdhxkhw/edit?usp=sharing"",""สิงห์บุรี!M462"")"),0.0)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IFERROR(__xludf.DUMMYFUNCTION("IMPORTRANGE(""https://docs.google.com/spreadsheets/d/1SX6NBoVAgQJ6U1MVXOaj8PK2l7WJ3RER9xtqwdhxkhw/edit?usp=sharing"",""สิงห์บุรี!L463"")"),117840.0)</f>
        <v>117840</v>
      </c>
      <c r="M568" s="203"/>
      <c r="N568" s="203">
        <f>IFERROR(__xludf.DUMMYFUNCTION("IMPORTRANGE(""https://docs.google.com/spreadsheets/d/1SX6NBoVAgQJ6U1MVXOaj8PK2l7WJ3RER9xtqwdhxkhw/edit?usp=sharing"",""สิงห์บุรี!M463"")"),21633.33)</f>
        <v>21633.33</v>
      </c>
      <c r="O568" s="203">
        <f t="shared" si="123"/>
        <v>18.35822301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IFERROR(__xludf.DUMMYFUNCTION("IMPORTRANGE(""https://docs.google.com/spreadsheets/d/1SX6NBoVAgQJ6U1MVXOaj8PK2l7WJ3RER9xtqwdhxkhw/edit?usp=sharing"",""สิงห์บุรี!M464"")"),0.0)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IFERROR(__xludf.DUMMYFUNCTION("IMPORTRANGE(""https://docs.google.com/spreadsheets/d/1SX6NBoVAgQJ6U1MVXOaj8PK2l7WJ3RER9xtqwdhxkhw/edit?usp=sharing"",""สิงห์บุรี!M465"")"),0.0)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IFERROR(__xludf.DUMMYFUNCTION("IMPORTRANGE(""https://docs.google.com/spreadsheets/d/1SX6NBoVAgQJ6U1MVXOaj8PK2l7WJ3RER9xtqwdhxkhw/edit?usp=sharing"",""สิงห์บุรี!M466"")"),21633.33)</f>
        <v>21633.33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IFERROR(__xludf.DUMMYFUNCTION("IMPORTRANGE(""https://docs.google.com/spreadsheets/d/1SX6NBoVAgQJ6U1MVXOaj8PK2l7WJ3RER9xtqwdhxkhw/edit?usp=sharing"",""สิงห์บุรี!M467"")"),0.0)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IFERROR(__xludf.DUMMYFUNCTION("IMPORTRANGE(""https://docs.google.com/spreadsheets/d/1SX6NBoVAgQJ6U1MVXOaj8PK2l7WJ3RER9xtqwdhxkhw/edit?usp=sharing"",""สิงห์บุรี!I468"")"),20.0)</f>
        <v>20</v>
      </c>
      <c r="J573" s="453">
        <f>IFERROR(__xludf.DUMMYFUNCTION("IMPORTRANGE(""https://docs.google.com/spreadsheets/d/1SX6NBoVAgQJ6U1MVXOaj8PK2l7WJ3RER9xtqwdhxkhw/edit?usp=sharing"",""สิงห์บุรี!J468"")"),5.0)</f>
        <v>5</v>
      </c>
      <c r="K573" s="236">
        <f>IF(I573&gt;0,J573*100/I573,0)</f>
        <v>25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IFERROR(__xludf.DUMMYFUNCTION("IMPORTRANGE(""https://docs.google.com/spreadsheets/d/1SX6NBoVAgQJ6U1MVXOaj8PK2l7WJ3RER9xtqwdhxkhw/edit?usp=sharing"",""สิงห์บุรี!I470"")"),0.0)</f>
        <v>0</v>
      </c>
      <c r="J575" s="232">
        <f>IFERROR(__xludf.DUMMYFUNCTION("IMPORTRANGE(""https://docs.google.com/spreadsheets/d/1SX6NBoVAgQJ6U1MVXOaj8PK2l7WJ3RER9xtqwdhxkhw/edit?usp=sharing"",""สิงห์บุรี!J470"")"),0.0)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IFERROR(__xludf.DUMMYFUNCTION("IMPORTRANGE(""https://docs.google.com/spreadsheets/d/1SX6NBoVAgQJ6U1MVXOaj8PK2l7WJ3RER9xtqwdhxkhw/edit?usp=sharing"",""สิงห์บุรี!I471"")"),0.0)</f>
        <v>0</v>
      </c>
      <c r="J576" s="232">
        <f>IFERROR(__xludf.DUMMYFUNCTION("IMPORTRANGE(""https://docs.google.com/spreadsheets/d/1SX6NBoVAgQJ6U1MVXOaj8PK2l7WJ3RER9xtqwdhxkhw/edit?usp=sharing"",""สิงห์บุรี!J471"")"),0.0)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IFERROR(__xludf.DUMMYFUNCTION("IMPORTRANGE(""https://docs.google.com/spreadsheets/d/1SX6NBoVAgQJ6U1MVXOaj8PK2l7WJ3RER9xtqwdhxkhw/edit?usp=sharing"",""สิงห์บุรี!I472"")"),0.0)</f>
        <v>0</v>
      </c>
      <c r="J577" s="223">
        <f>IFERROR(__xludf.DUMMYFUNCTION("IMPORTRANGE(""https://docs.google.com/spreadsheets/d/1SX6NBoVAgQJ6U1MVXOaj8PK2l7WJ3RER9xtqwdhxkhw/edit?usp=sharing"",""สิงห์บุรี!J472"")"),5.0)</f>
        <v>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IFERROR(__xludf.DUMMYFUNCTION("IMPORTRANGE(""https://docs.google.com/spreadsheets/d/1SX6NBoVAgQJ6U1MVXOaj8PK2l7WJ3RER9xtqwdhxkhw/edit?usp=sharing"",""สิงห์บุรี!I473"")"),0.0)</f>
        <v>0</v>
      </c>
      <c r="J578" s="232">
        <f>IFERROR(__xludf.DUMMYFUNCTION("IMPORTRANGE(""https://docs.google.com/spreadsheets/d/1SX6NBoVAgQJ6U1MVXOaj8PK2l7WJ3RER9xtqwdhxkhw/edit?usp=sharing"",""สิงห์บุรี!J473"")"),0.0)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IFERROR(__xludf.DUMMYFUNCTION("IMPORTRANGE(""https://docs.google.com/spreadsheets/d/1SX6NBoVAgQJ6U1MVXOaj8PK2l7WJ3RER9xtqwdhxkhw/edit?usp=sharing"",""สิงห์บุรี!I474"")"),0.0)</f>
        <v>0</v>
      </c>
      <c r="J579" s="232">
        <f>IFERROR(__xludf.DUMMYFUNCTION("IMPORTRANGE(""https://docs.google.com/spreadsheets/d/1SX6NBoVAgQJ6U1MVXOaj8PK2l7WJ3RER9xtqwdhxkhw/edit?usp=sharing"",""สิงห์บุรี!J474"")"),0.0)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IFERROR(__xludf.DUMMYFUNCTION("IMPORTRANGE(""https://docs.google.com/spreadsheets/d/1SX6NBoVAgQJ6U1MVXOaj8PK2l7WJ3RER9xtqwdhxkhw/edit?usp=sharing"",""สิงห์บุรี!I475"")"),0.0)</f>
        <v>0</v>
      </c>
      <c r="J580" s="404">
        <f>IFERROR(__xludf.DUMMYFUNCTION("IMPORTRANGE(""https://docs.google.com/spreadsheets/d/1SX6NBoVAgQJ6U1MVXOaj8PK2l7WJ3RER9xtqwdhxkhw/edit?usp=sharing"",""สิงห์บุรี!J475"")"),0.0)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IFERROR(__xludf.DUMMYFUNCTION("IMPORTRANGE(""https://docs.google.com/spreadsheets/d/1SX6NBoVAgQJ6U1MVXOaj8PK2l7WJ3RER9xtqwdhxkhw/edit?usp=sharing"",""สิงห์บุรี!L475"")"),0.0)</f>
        <v>0</v>
      </c>
      <c r="M580" s="406"/>
      <c r="N580" s="406">
        <f>IFERROR(__xludf.DUMMYFUNCTION("IMPORTRANGE(""https://docs.google.com/spreadsheets/d/1SX6NBoVAgQJ6U1MVXOaj8PK2l7WJ3RER9xtqwdhxkhw/edit?usp=sharing"",""สิงห์บุรี!M475"")"),0.0)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IFERROR(__xludf.DUMMYFUNCTION("IMPORTRANGE(""https://docs.google.com/spreadsheets/d/1SX6NBoVAgQJ6U1MVXOaj8PK2l7WJ3RER9xtqwdhxkhw/edit?usp=sharing"",""สิงห์บุรี!L476"")"),0.0)</f>
        <v>0</v>
      </c>
      <c r="M581" s="197"/>
      <c r="N581" s="203">
        <f>IFERROR(__xludf.DUMMYFUNCTION("IMPORTRANGE(""https://docs.google.com/spreadsheets/d/1SX6NBoVAgQJ6U1MVXOaj8PK2l7WJ3RER9xtqwdhxkhw/edit?usp=sharing"",""สิงห์บุรี!M476"")"),0.0)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IFERROR(__xludf.DUMMYFUNCTION("IMPORTRANGE(""https://docs.google.com/spreadsheets/d/1SX6NBoVAgQJ6U1MVXOaj8PK2l7WJ3RER9xtqwdhxkhw/edit?usp=sharing"",""สิงห์บุรี!L477"")"),0.0)</f>
        <v>0</v>
      </c>
      <c r="M582" s="198"/>
      <c r="N582" s="203">
        <f>IFERROR(__xludf.DUMMYFUNCTION("IMPORTRANGE(""https://docs.google.com/spreadsheets/d/1SX6NBoVAgQJ6U1MVXOaj8PK2l7WJ3RER9xtqwdhxkhw/edit?usp=sharing"",""สิงห์บุรี!M477"")"),0.0)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IFERROR(__xludf.DUMMYFUNCTION("IMPORTRANGE(""https://docs.google.com/spreadsheets/d/1SX6NBoVAgQJ6U1MVXOaj8PK2l7WJ3RER9xtqwdhxkhw/edit?usp=sharing"",""สิงห์บุรี!L478"")"),0.0)</f>
        <v>0</v>
      </c>
      <c r="M583" s="203"/>
      <c r="N583" s="203">
        <f>IFERROR(__xludf.DUMMYFUNCTION("IMPORTRANGE(""https://docs.google.com/spreadsheets/d/1SX6NBoVAgQJ6U1MVXOaj8PK2l7WJ3RER9xtqwdhxkhw/edit?usp=sharing"",""สิงห์บุรี!M478"")"),0.0)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IFERROR(__xludf.DUMMYFUNCTION("IMPORTRANGE(""https://docs.google.com/spreadsheets/d/1SX6NBoVAgQJ6U1MVXOaj8PK2l7WJ3RER9xtqwdhxkhw/edit?usp=sharing"",""สิงห์บุรี!L479"")"),0.0)</f>
        <v>0</v>
      </c>
      <c r="M584" s="203"/>
      <c r="N584" s="203">
        <f>IFERROR(__xludf.DUMMYFUNCTION("IMPORTRANGE(""https://docs.google.com/spreadsheets/d/1SX6NBoVAgQJ6U1MVXOaj8PK2l7WJ3RER9xtqwdhxkhw/edit?usp=sharing"",""สิงห์บุรี!M479"")"),0.0)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IFERROR(__xludf.DUMMYFUNCTION("IMPORTRANGE(""https://docs.google.com/spreadsheets/d/1SX6NBoVAgQJ6U1MVXOaj8PK2l7WJ3RER9xtqwdhxkhw/edit?usp=sharing"",""สิงห์บุรี!M480"")"),0.0)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IFERROR(__xludf.DUMMYFUNCTION("IMPORTRANGE(""https://docs.google.com/spreadsheets/d/1SX6NBoVAgQJ6U1MVXOaj8PK2l7WJ3RER9xtqwdhxkhw/edit?usp=sharing"",""สิงห์บุรี!M481"")"),0.0)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IFERROR(__xludf.DUMMYFUNCTION("IMPORTRANGE(""https://docs.google.com/spreadsheets/d/1SX6NBoVAgQJ6U1MVXOaj8PK2l7WJ3RER9xtqwdhxkhw/edit?usp=sharing"",""สิงห์บุรี!M482"")"),0.0)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IFERROR(__xludf.DUMMYFUNCTION("IMPORTRANGE(""https://docs.google.com/spreadsheets/d/1SX6NBoVAgQJ6U1MVXOaj8PK2l7WJ3RER9xtqwdhxkhw/edit?usp=sharing"",""สิงห์บุรี!M483"")"),0.0)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IFERROR(__xludf.DUMMYFUNCTION("IMPORTRANGE(""https://docs.google.com/spreadsheets/d/1SX6NBoVAgQJ6U1MVXOaj8PK2l7WJ3RER9xtqwdhxkhw/edit?usp=sharing"",""สิงห์บุรี!I484"")"),0.0)</f>
        <v>0</v>
      </c>
      <c r="J589" s="222">
        <f>IFERROR(__xludf.DUMMYFUNCTION("IMPORTRANGE(""https://docs.google.com/spreadsheets/d/1SX6NBoVAgQJ6U1MVXOaj8PK2l7WJ3RER9xtqwdhxkhw/edit?usp=sharing"",""สิงห์บุรี!J484"")"),0.0)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IFERROR(__xludf.DUMMYFUNCTION("IMPORTRANGE(""https://docs.google.com/spreadsheets/d/1SX6NBoVAgQJ6U1MVXOaj8PK2l7WJ3RER9xtqwdhxkhw/edit?usp=sharing"",""สิงห์บุรี!I485"")"),0.0)</f>
        <v>0</v>
      </c>
      <c r="J590" s="222">
        <f>IFERROR(__xludf.DUMMYFUNCTION("IMPORTRANGE(""https://docs.google.com/spreadsheets/d/1SX6NBoVAgQJ6U1MVXOaj8PK2l7WJ3RER9xtqwdhxkhw/edit?usp=sharing"",""สิงห์บุรี!J485"")"),0.0)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IFERROR(__xludf.DUMMYFUNCTION("IMPORTRANGE(""https://docs.google.com/spreadsheets/d/1SX6NBoVAgQJ6U1MVXOaj8PK2l7WJ3RER9xtqwdhxkhw/edit?usp=sharing"",""สิงห์บุรี!I486"")"),0.0)</f>
        <v>0</v>
      </c>
      <c r="J591" s="222">
        <f>IFERROR(__xludf.DUMMYFUNCTION("IMPORTRANGE(""https://docs.google.com/spreadsheets/d/1SX6NBoVAgQJ6U1MVXOaj8PK2l7WJ3RER9xtqwdhxkhw/edit?usp=sharing"",""สิงห์บุรี!J486"")"),0.0)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IFERROR(__xludf.DUMMYFUNCTION("IMPORTRANGE(""https://docs.google.com/spreadsheets/d/1SX6NBoVAgQJ6U1MVXOaj8PK2l7WJ3RER9xtqwdhxkhw/edit?usp=sharing"",""สิงห์บุรี!I487"")"),0.0)</f>
        <v>0</v>
      </c>
      <c r="J592" s="222">
        <f>IFERROR(__xludf.DUMMYFUNCTION("IMPORTRANGE(""https://docs.google.com/spreadsheets/d/1SX6NBoVAgQJ6U1MVXOaj8PK2l7WJ3RER9xtqwdhxkhw/edit?usp=sharing"",""สิงห์บุรี!J487"")"),0.0)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IFERROR(__xludf.DUMMYFUNCTION("IMPORTRANGE(""https://docs.google.com/spreadsheets/d/1SX6NBoVAgQJ6U1MVXOaj8PK2l7WJ3RER9xtqwdhxkhw/edit?usp=sharing"",""สิงห์บุรี!I488"")"),0.0)</f>
        <v>0</v>
      </c>
      <c r="J593" s="222">
        <f>IFERROR(__xludf.DUMMYFUNCTION("IMPORTRANGE(""https://docs.google.com/spreadsheets/d/1SX6NBoVAgQJ6U1MVXOaj8PK2l7WJ3RER9xtqwdhxkhw/edit?usp=sharing"",""สิงห์บุรี!J488"")"),0.0)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IFERROR(__xludf.DUMMYFUNCTION("IMPORTRANGE(""https://docs.google.com/spreadsheets/d/1SX6NBoVAgQJ6U1MVXOaj8PK2l7WJ3RER9xtqwdhxkhw/edit?usp=sharing"",""สิงห์บุรี!I489"")"),0.0)</f>
        <v>0</v>
      </c>
      <c r="J594" s="222">
        <f>IFERROR(__xludf.DUMMYFUNCTION("IMPORTRANGE(""https://docs.google.com/spreadsheets/d/1SX6NBoVAgQJ6U1MVXOaj8PK2l7WJ3RER9xtqwdhxkhw/edit?usp=sharing"",""สิงห์บุรี!J489"")"),0.0)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IFERROR(__xludf.DUMMYFUNCTION("IMPORTRANGE(""https://docs.google.com/spreadsheets/d/1SX6NBoVAgQJ6U1MVXOaj8PK2l7WJ3RER9xtqwdhxkhw/edit?usp=sharing"",""สิงห์บุรี!I490"")"),0.0)</f>
        <v>0</v>
      </c>
      <c r="J595" s="222">
        <f>IFERROR(__xludf.DUMMYFUNCTION("IMPORTRANGE(""https://docs.google.com/spreadsheets/d/1SX6NBoVAgQJ6U1MVXOaj8PK2l7WJ3RER9xtqwdhxkhw/edit?usp=sharing"",""สิงห์บุรี!J490"")"),0.0)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IFERROR(__xludf.DUMMYFUNCTION("IMPORTRANGE(""https://docs.google.com/spreadsheets/d/1SX6NBoVAgQJ6U1MVXOaj8PK2l7WJ3RER9xtqwdhxkhw/edit?usp=sharing"",""สิงห์บุรี!I491"")"),0.0)</f>
        <v>0</v>
      </c>
      <c r="J596" s="275">
        <f>IFERROR(__xludf.DUMMYFUNCTION("IMPORTRANGE(""https://docs.google.com/spreadsheets/d/1SX6NBoVAgQJ6U1MVXOaj8PK2l7WJ3RER9xtqwdhxkhw/edit?usp=sharing"",""สิงห์บุรี!J491"")"),0.0)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IFERROR(__xludf.DUMMYFUNCTION("IMPORTRANGE(""https://docs.google.com/spreadsheets/d/1SX6NBoVAgQJ6U1MVXOaj8PK2l7WJ3RER9xtqwdhxkhw/edit?usp=sharing"",""สิงห์บุรี!I492"")"),100.0)</f>
        <v>100</v>
      </c>
      <c r="J597" s="520">
        <f>IFERROR(__xludf.DUMMYFUNCTION("IMPORTRANGE(""https://docs.google.com/spreadsheets/d/1SX6NBoVAgQJ6U1MVXOaj8PK2l7WJ3RER9xtqwdhxkhw/edit?usp=sharing"",""สิงห์บุรี!J492"")"),0.0)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IFERROR(__xludf.DUMMYFUNCTION("IMPORTRANGE(""https://docs.google.com/spreadsheets/d/1SX6NBoVAgQJ6U1MVXOaj8PK2l7WJ3RER9xtqwdhxkhw/edit?usp=sharing"",""สิงห์บุรี!L492"")"),7300.0)</f>
        <v>7300</v>
      </c>
      <c r="M597" s="445"/>
      <c r="N597" s="445">
        <f>IFERROR(__xludf.DUMMYFUNCTION("IMPORTRANGE(""https://docs.google.com/spreadsheets/d/1SX6NBoVAgQJ6U1MVXOaj8PK2l7WJ3RER9xtqwdhxkhw/edit?usp=sharing"",""สิงห์บุรี!M492"")"),1800.0)</f>
        <v>1800</v>
      </c>
      <c r="O597" s="445">
        <f t="shared" ref="O597:O601" si="127">+IF(L597&gt;0,N597*100/L597,0)</f>
        <v>24.65753425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IFERROR(__xludf.DUMMYFUNCTION("IMPORTRANGE(""https://docs.google.com/spreadsheets/d/1SX6NBoVAgQJ6U1MVXOaj8PK2l7WJ3RER9xtqwdhxkhw/edit?usp=sharing"",""สิงห์บุรี!L493"")"),0.0)</f>
        <v>0</v>
      </c>
      <c r="M598" s="197"/>
      <c r="N598" s="203">
        <f>IFERROR(__xludf.DUMMYFUNCTION("IMPORTRANGE(""https://docs.google.com/spreadsheets/d/1SX6NBoVAgQJ6U1MVXOaj8PK2l7WJ3RER9xtqwdhxkhw/edit?usp=sharing"",""สิงห์บุรี!M493"")"),0.0)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IFERROR(__xludf.DUMMYFUNCTION("IMPORTRANGE(""https://docs.google.com/spreadsheets/d/1SX6NBoVAgQJ6U1MVXOaj8PK2l7WJ3RER9xtqwdhxkhw/edit?usp=sharing"",""สิงห์บุรี!L494"")"),7300.0)</f>
        <v>7300</v>
      </c>
      <c r="M599" s="198"/>
      <c r="N599" s="203">
        <f>IFERROR(__xludf.DUMMYFUNCTION("IMPORTRANGE(""https://docs.google.com/spreadsheets/d/1SX6NBoVAgQJ6U1MVXOaj8PK2l7WJ3RER9xtqwdhxkhw/edit?usp=sharing"",""สิงห์บุรี!M494"")"),1800.0)</f>
        <v>1800</v>
      </c>
      <c r="O599" s="203">
        <f t="shared" si="127"/>
        <v>24.65753425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IFERROR(__xludf.DUMMYFUNCTION("IMPORTRANGE(""https://docs.google.com/spreadsheets/d/1SX6NBoVAgQJ6U1MVXOaj8PK2l7WJ3RER9xtqwdhxkhw/edit?usp=sharing"",""สิงห์บุรี!L495"")"),0.0)</f>
        <v>0</v>
      </c>
      <c r="M600" s="203"/>
      <c r="N600" s="203">
        <f>IFERROR(__xludf.DUMMYFUNCTION("IMPORTRANGE(""https://docs.google.com/spreadsheets/d/1SX6NBoVAgQJ6U1MVXOaj8PK2l7WJ3RER9xtqwdhxkhw/edit?usp=sharing"",""สิงห์บุรี!M495"")"),0.0)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IFERROR(__xludf.DUMMYFUNCTION("IMPORTRANGE(""https://docs.google.com/spreadsheets/d/1SX6NBoVAgQJ6U1MVXOaj8PK2l7WJ3RER9xtqwdhxkhw/edit?usp=sharing"",""สิงห์บุรี!L496"")"),7300.0)</f>
        <v>7300</v>
      </c>
      <c r="M601" s="203"/>
      <c r="N601" s="203">
        <f>IFERROR(__xludf.DUMMYFUNCTION("IMPORTRANGE(""https://docs.google.com/spreadsheets/d/1SX6NBoVAgQJ6U1MVXOaj8PK2l7WJ3RER9xtqwdhxkhw/edit?usp=sharing"",""สิงห์บุรี!M496"")"),1800.0)</f>
        <v>1800</v>
      </c>
      <c r="O601" s="203">
        <f t="shared" si="127"/>
        <v>24.65753425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IFERROR(__xludf.DUMMYFUNCTION("IMPORTRANGE(""https://docs.google.com/spreadsheets/d/1SX6NBoVAgQJ6U1MVXOaj8PK2l7WJ3RER9xtqwdhxkhw/edit?usp=sharing"",""สิงห์บุรี!M497"")"),0.0)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IFERROR(__xludf.DUMMYFUNCTION("IMPORTRANGE(""https://docs.google.com/spreadsheets/d/1SX6NBoVAgQJ6U1MVXOaj8PK2l7WJ3RER9xtqwdhxkhw/edit?usp=sharing"",""สิงห์บุรี!M498"")"),0.0)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IFERROR(__xludf.DUMMYFUNCTION("IMPORTRANGE(""https://docs.google.com/spreadsheets/d/1SX6NBoVAgQJ6U1MVXOaj8PK2l7WJ3RER9xtqwdhxkhw/edit?usp=sharing"",""สิงห์บุรี!M499"")"),0.0)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IFERROR(__xludf.DUMMYFUNCTION("IMPORTRANGE(""https://docs.google.com/spreadsheets/d/1SX6NBoVAgQJ6U1MVXOaj8PK2l7WJ3RER9xtqwdhxkhw/edit?usp=sharing"",""สิงห์บุรี!M500"")"),1800.0)</f>
        <v>1800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IFERROR(__xludf.DUMMYFUNCTION("IMPORTRANGE(""https://docs.google.com/spreadsheets/d/1SX6NBoVAgQJ6U1MVXOaj8PK2l7WJ3RER9xtqwdhxkhw/edit?usp=sharing"",""สิงห์บุรี!J502"")"),0.0)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IFERROR(__xludf.DUMMYFUNCTION("IMPORTRANGE(""https://docs.google.com/spreadsheets/d/1SX6NBoVAgQJ6U1MVXOaj8PK2l7WJ3RER9xtqwdhxkhw/edit?usp=sharing"",""สิงห์บุรี!J503"")"),0.0)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IFERROR(__xludf.DUMMYFUNCTION("IMPORTRANGE(""https://docs.google.com/spreadsheets/d/1SX6NBoVAgQJ6U1MVXOaj8PK2l7WJ3RER9xtqwdhxkhw/edit?usp=sharing"",""สิงห์บุรี!J166"")"),0.0)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IFERROR(__xludf.DUMMYFUNCTION("IMPORTRANGE(""https://docs.google.com/spreadsheets/d/1SX6NBoVAgQJ6U1MVXOaj8PK2l7WJ3RER9xtqwdhxkhw/edit?usp=sharing"",""สิงห์บุรี!J166"")"),0.0)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IFERROR(__xludf.DUMMYFUNCTION("IMPORTRANGE(""https://docs.google.com/spreadsheets/d/1SX6NBoVAgQJ6U1MVXOaj8PK2l7WJ3RER9xtqwdhxkhw/edit?usp=sharing"",""สิงห์บุรี!I506"")"),100.0)</f>
        <v>100</v>
      </c>
      <c r="J611" s="195">
        <f>IFERROR(__xludf.DUMMYFUNCTION("IMPORTRANGE(""https://docs.google.com/spreadsheets/d/1SX6NBoVAgQJ6U1MVXOaj8PK2l7WJ3RER9xtqwdhxkhw/edit?usp=sharing"",""สิงห์บุรี!J506"")"),0.0)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IFERROR(__xludf.DUMMYFUNCTION("IMPORTRANGE(""https://docs.google.com/spreadsheets/d/1SX6NBoVAgQJ6U1MVXOaj8PK2l7WJ3RER9xtqwdhxkhw/edit?usp=sharing"",""สิงห์บุรี!I507"")"),0.0)</f>
        <v>0</v>
      </c>
      <c r="J612" s="232">
        <f>IFERROR(__xludf.DUMMYFUNCTION("IMPORTRANGE(""https://docs.google.com/spreadsheets/d/1SX6NBoVAgQJ6U1MVXOaj8PK2l7WJ3RER9xtqwdhxkhw/edit?usp=sharing"",""สิงห์บุรี!J507"")"),157.0)</f>
        <v>157</v>
      </c>
      <c r="K612" s="196">
        <f t="shared" si="128"/>
        <v>157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IFERROR(__xludf.DUMMYFUNCTION("IMPORTRANGE(""https://docs.google.com/spreadsheets/d/1SX6NBoVAgQJ6U1MVXOaj8PK2l7WJ3RER9xtqwdhxkhw/edit?usp=sharing"",""สิงห์บุรี!I508"")"),0.0)</f>
        <v>0</v>
      </c>
      <c r="J613" s="232">
        <f>IFERROR(__xludf.DUMMYFUNCTION("IMPORTRANGE(""https://docs.google.com/spreadsheets/d/1SX6NBoVAgQJ6U1MVXOaj8PK2l7WJ3RER9xtqwdhxkhw/edit?usp=sharing"",""สิงห์บุรี!J508"")"),157.0)</f>
        <v>157</v>
      </c>
      <c r="K613" s="196">
        <f t="shared" si="128"/>
        <v>157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IFERROR(__xludf.DUMMYFUNCTION("IMPORTRANGE(""https://docs.google.com/spreadsheets/d/1SX6NBoVAgQJ6U1MVXOaj8PK2l7WJ3RER9xtqwdhxkhw/edit?usp=sharing"",""สิงห์บุรี!I509"")"),0.0)</f>
        <v>0</v>
      </c>
      <c r="J614" s="232">
        <f>IFERROR(__xludf.DUMMYFUNCTION("IMPORTRANGE(""https://docs.google.com/spreadsheets/d/1SX6NBoVAgQJ6U1MVXOaj8PK2l7WJ3RER9xtqwdhxkhw/edit?usp=sharing"",""สิงห์บุรี!J509"")"),0.0)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IFERROR(__xludf.DUMMYFUNCTION("IMPORTRANGE(""https://docs.google.com/spreadsheets/d/1SX6NBoVAgQJ6U1MVXOaj8PK2l7WJ3RER9xtqwdhxkhw/edit?usp=sharing"",""สิงห์บุรี!I510"")"),0.0)</f>
        <v>0</v>
      </c>
      <c r="J615" s="232">
        <f>IFERROR(__xludf.DUMMYFUNCTION("IMPORTRANGE(""https://docs.google.com/spreadsheets/d/1SX6NBoVAgQJ6U1MVXOaj8PK2l7WJ3RER9xtqwdhxkhw/edit?usp=sharing"",""สิงห์บุรี!J510"")"),0.0)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IFERROR(__xludf.DUMMYFUNCTION("IMPORTRANGE(""https://docs.google.com/spreadsheets/d/1SX6NBoVAgQJ6U1MVXOaj8PK2l7WJ3RER9xtqwdhxkhw/edit?usp=sharing"",""สิงห์บุรี!I511"")"),0.0)</f>
        <v>0</v>
      </c>
      <c r="J616" s="232">
        <f>IFERROR(__xludf.DUMMYFUNCTION("IMPORTRANGE(""https://docs.google.com/spreadsheets/d/1SX6NBoVAgQJ6U1MVXOaj8PK2l7WJ3RER9xtqwdhxkhw/edit?usp=sharing"",""สิงห์บุรี!J511"")"),0.0)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IFERROR(__xludf.DUMMYFUNCTION("IMPORTRANGE(""https://docs.google.com/spreadsheets/d/1SX6NBoVAgQJ6U1MVXOaj8PK2l7WJ3RER9xtqwdhxkhw/edit?usp=sharing"",""สิงห์บุรี!I512"")"),0.0)</f>
        <v>0</v>
      </c>
      <c r="J617" s="222">
        <f>IFERROR(__xludf.DUMMYFUNCTION("IMPORTRANGE(""https://docs.google.com/spreadsheets/d/1SX6NBoVAgQJ6U1MVXOaj8PK2l7WJ3RER9xtqwdhxkhw/edit?usp=sharing"",""สิงห์บุรี!J512"")"),0.0)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IFERROR(__xludf.DUMMYFUNCTION("IMPORTRANGE(""https://docs.google.com/spreadsheets/d/1SX6NBoVAgQJ6U1MVXOaj8PK2l7WJ3RER9xtqwdhxkhw/edit?usp=sharing"",""สิงห์บุรี!I513"")"),0.0)</f>
        <v>0</v>
      </c>
      <c r="J618" s="223">
        <f>IFERROR(__xludf.DUMMYFUNCTION("IMPORTRANGE(""https://docs.google.com/spreadsheets/d/1SX6NBoVAgQJ6U1MVXOaj8PK2l7WJ3RER9xtqwdhxkhw/edit?usp=sharing"",""สิงห์บุรี!J513"")"),0.0)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IFERROR(__xludf.DUMMYFUNCTION("IMPORTRANGE(""https://docs.google.com/spreadsheets/d/1SX6NBoVAgQJ6U1MVXOaj8PK2l7WJ3RER9xtqwdhxkhw/edit?usp=sharing"",""สิงห์บุรี!I514"")"),0.0)</f>
        <v>0</v>
      </c>
      <c r="J619" s="223">
        <f>IFERROR(__xludf.DUMMYFUNCTION("IMPORTRANGE(""https://docs.google.com/spreadsheets/d/1SX6NBoVAgQJ6U1MVXOaj8PK2l7WJ3RER9xtqwdhxkhw/edit?usp=sharing"",""สิงห์บุรี!J514"")"),0.0)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IFERROR(__xludf.DUMMYFUNCTION("IMPORTRANGE(""https://docs.google.com/spreadsheets/d/1SX6NBoVAgQJ6U1MVXOaj8PK2l7WJ3RER9xtqwdhxkhw/edit?usp=sharing"",""สิงห์บุรี!I515"")"),925.0)</f>
        <v>925</v>
      </c>
      <c r="J620" s="237">
        <f>IFERROR(__xludf.DUMMYFUNCTION("IMPORTRANGE(""https://docs.google.com/spreadsheets/d/1SX6NBoVAgQJ6U1MVXOaj8PK2l7WJ3RER9xtqwdhxkhw/edit?usp=sharing"",""สิงห์บุรี!J515"")"),0.0)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IFERROR(__xludf.DUMMYFUNCTION("IMPORTRANGE(""https://docs.google.com/spreadsheets/d/1SX6NBoVAgQJ6U1MVXOaj8PK2l7WJ3RER9xtqwdhxkhw/edit?usp=sharing"",""สิงห์บุรี!I516"")"),0.0)</f>
        <v>0</v>
      </c>
      <c r="J621" s="237">
        <f>IFERROR(__xludf.DUMMYFUNCTION("IMPORTRANGE(""https://docs.google.com/spreadsheets/d/1SX6NBoVAgQJ6U1MVXOaj8PK2l7WJ3RER9xtqwdhxkhw/edit?usp=sharing"",""สิงห์บุรี!J516"")"),0.0)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IFERROR(__xludf.DUMMYFUNCTION("IMPORTRANGE(""https://docs.google.com/spreadsheets/d/1SX6NBoVAgQJ6U1MVXOaj8PK2l7WJ3RER9xtqwdhxkhw/edit?usp=sharing"",""สิงห์บุรี!I517"")"),0.0)</f>
        <v>0</v>
      </c>
      <c r="J622" s="223">
        <f>IFERROR(__xludf.DUMMYFUNCTION("IMPORTRANGE(""https://docs.google.com/spreadsheets/d/1SX6NBoVAgQJ6U1MVXOaj8PK2l7WJ3RER9xtqwdhxkhw/edit?usp=sharing"",""สิงห์บุรี!J517"")"),0.0)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IFERROR(__xludf.DUMMYFUNCTION("IMPORTRANGE(""https://docs.google.com/spreadsheets/d/1SX6NBoVAgQJ6U1MVXOaj8PK2l7WJ3RER9xtqwdhxkhw/edit?usp=sharing"",""สิงห์บุรี!I518"")"),0.0)</f>
        <v>0</v>
      </c>
      <c r="J623" s="223">
        <f>IFERROR(__xludf.DUMMYFUNCTION("IMPORTRANGE(""https://docs.google.com/spreadsheets/d/1SX6NBoVAgQJ6U1MVXOaj8PK2l7WJ3RER9xtqwdhxkhw/edit?usp=sharing"",""สิงห์บุรี!J518"")"),0.0)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IFERROR(__xludf.DUMMYFUNCTION("IMPORTRANGE(""https://docs.google.com/spreadsheets/d/1SX6NBoVAgQJ6U1MVXOaj8PK2l7WJ3RER9xtqwdhxkhw/edit?usp=sharing"",""สิงห์บุรี!I519"")"),0.0)</f>
        <v>0</v>
      </c>
      <c r="J624" s="222">
        <f>IFERROR(__xludf.DUMMYFUNCTION("IMPORTRANGE(""https://docs.google.com/spreadsheets/d/1SX6NBoVAgQJ6U1MVXOaj8PK2l7WJ3RER9xtqwdhxkhw/edit?usp=sharing"",""สิงห์บุรี!J519"")"),0.0)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IFERROR(__xludf.DUMMYFUNCTION("IMPORTRANGE(""https://docs.google.com/spreadsheets/d/1SX6NBoVAgQJ6U1MVXOaj8PK2l7WJ3RER9xtqwdhxkhw/edit?usp=sharing"",""สิงห์บุรี!I520"")"),0.0)</f>
        <v>0</v>
      </c>
      <c r="J625" s="223">
        <f>IFERROR(__xludf.DUMMYFUNCTION("IMPORTRANGE(""https://docs.google.com/spreadsheets/d/1SX6NBoVAgQJ6U1MVXOaj8PK2l7WJ3RER9xtqwdhxkhw/edit?usp=sharing"",""สิงห์บุรี!J520"")"),0.0)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IFERROR(__xludf.DUMMYFUNCTION("IMPORTRANGE(""https://docs.google.com/spreadsheets/d/1SX6NBoVAgQJ6U1MVXOaj8PK2l7WJ3RER9xtqwdhxkhw/edit?usp=sharing"",""สิงห์บุรี!I521"")"),0.0)</f>
        <v>0</v>
      </c>
      <c r="J626" s="223">
        <f>IFERROR(__xludf.DUMMYFUNCTION("IMPORTRANGE(""https://docs.google.com/spreadsheets/d/1SX6NBoVAgQJ6U1MVXOaj8PK2l7WJ3RER9xtqwdhxkhw/edit?usp=sharing"",""สิงห์บุรี!J521"")"),0.0)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IFERROR(__xludf.DUMMYFUNCTION("IMPORTRANGE(""https://docs.google.com/spreadsheets/d/1SX6NBoVAgQJ6U1MVXOaj8PK2l7WJ3RER9xtqwdhxkhw/edit?usp=sharing"",""สิงห์บุรี!I523"")"),520000.0)</f>
        <v>520000</v>
      </c>
      <c r="J628" s="374">
        <f>IFERROR(__xludf.DUMMYFUNCTION("IMPORTRANGE(""https://docs.google.com/spreadsheets/d/1SX6NBoVAgQJ6U1MVXOaj8PK2l7WJ3RER9xtqwdhxkhw/edit?usp=sharing"",""สิงห์บุรี!J523"")"),400000.0)</f>
        <v>400000</v>
      </c>
      <c r="K628" s="375">
        <f t="shared" ref="K628:K635" si="130">IF(I628&gt;0,J628*100/I628,0)</f>
        <v>76.92307692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IFERROR(__xludf.DUMMYFUNCTION("IMPORTRANGE(""https://docs.google.com/spreadsheets/d/1SX6NBoVAgQJ6U1MVXOaj8PK2l7WJ3RER9xtqwdhxkhw/edit?usp=sharing"",""สิงห์บุรี!I524"")"),18.0)</f>
        <v>18</v>
      </c>
      <c r="J629" s="374">
        <f>IFERROR(__xludf.DUMMYFUNCTION("IMPORTRANGE(""https://docs.google.com/spreadsheets/d/1SX6NBoVAgQJ6U1MVXOaj8PK2l7WJ3RER9xtqwdhxkhw/edit?usp=sharing"",""สิงห์บุรี!J524"")"),14.0)</f>
        <v>14</v>
      </c>
      <c r="K629" s="375">
        <f t="shared" si="130"/>
        <v>77.77777778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IFERROR(__xludf.DUMMYFUNCTION("IMPORTRANGE(""https://docs.google.com/spreadsheets/d/1SX6NBoVAgQJ6U1MVXOaj8PK2l7WJ3RER9xtqwdhxkhw/edit?usp=sharing"",""สิงห์บุรี!I525"")"),0.0)</f>
        <v>0</v>
      </c>
      <c r="J630" s="374">
        <f>IFERROR(__xludf.DUMMYFUNCTION("IMPORTRANGE(""https://docs.google.com/spreadsheets/d/1SX6NBoVAgQJ6U1MVXOaj8PK2l7WJ3RER9xtqwdhxkhw/edit?usp=sharing"",""สิงห์บุรี!J525"")"),0.0)</f>
        <v>0</v>
      </c>
      <c r="K630" s="375">
        <f t="shared" si="130"/>
        <v>0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IFERROR(__xludf.DUMMYFUNCTION("IMPORTRANGE(""https://docs.google.com/spreadsheets/d/1SX6NBoVAgQJ6U1MVXOaj8PK2l7WJ3RER9xtqwdhxkhw/edit?usp=sharing"",""สิงห์บุรี!I526"")"),0.0)</f>
        <v>0</v>
      </c>
      <c r="J631" s="374">
        <f>IFERROR(__xludf.DUMMYFUNCTION("IMPORTRANGE(""https://docs.google.com/spreadsheets/d/1SX6NBoVAgQJ6U1MVXOaj8PK2l7WJ3RER9xtqwdhxkhw/edit?usp=sharing"",""สิงห์บุรี!J526"")"),0.0)</f>
        <v>0</v>
      </c>
      <c r="K631" s="375">
        <f t="shared" si="130"/>
        <v>0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IFERROR(__xludf.DUMMYFUNCTION("IMPORTRANGE(""https://docs.google.com/spreadsheets/d/1SX6NBoVAgQJ6U1MVXOaj8PK2l7WJ3RER9xtqwdhxkhw/edit?usp=sharing"",""สิงห์บุรี!I527"")"),69433.95)</f>
        <v>69433.95</v>
      </c>
      <c r="J632" s="374">
        <f>IFERROR(__xludf.DUMMYFUNCTION("IMPORTRANGE(""https://docs.google.com/spreadsheets/d/1SX6NBoVAgQJ6U1MVXOaj8PK2l7WJ3RER9xtqwdhxkhw/edit?usp=sharing"",""สิงห์บุรี!J527"")"),6877.06)</f>
        <v>6877.06</v>
      </c>
      <c r="K632" s="375">
        <f t="shared" si="130"/>
        <v>9.904463162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IFERROR(__xludf.DUMMYFUNCTION("IMPORTRANGE(""https://docs.google.com/spreadsheets/d/1SX6NBoVAgQJ6U1MVXOaj8PK2l7WJ3RER9xtqwdhxkhw/edit?usp=sharing"",""สิงห์บุรี!I528"")"),25.0)</f>
        <v>25</v>
      </c>
      <c r="J633" s="374">
        <f>IFERROR(__xludf.DUMMYFUNCTION("IMPORTRANGE(""https://docs.google.com/spreadsheets/d/1SX6NBoVAgQJ6U1MVXOaj8PK2l7WJ3RER9xtqwdhxkhw/edit?usp=sharing"",""สิงห์บุรี!J528"")"),2.0)</f>
        <v>2</v>
      </c>
      <c r="K633" s="375">
        <f t="shared" si="130"/>
        <v>8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IFERROR(__xludf.DUMMYFUNCTION("IMPORTRANGE(""https://docs.google.com/spreadsheets/d/1SX6NBoVAgQJ6U1MVXOaj8PK2l7WJ3RER9xtqwdhxkhw/edit?usp=sharing"",""สิงห์บุรี!I529"")"),520000.0)</f>
        <v>520000</v>
      </c>
      <c r="J634" s="374">
        <f>IFERROR(__xludf.DUMMYFUNCTION("IMPORTRANGE(""https://docs.google.com/spreadsheets/d/1SX6NBoVAgQJ6U1MVXOaj8PK2l7WJ3RER9xtqwdhxkhw/edit?usp=sharing"",""สิงห์บุรี!J529"")"),0.0)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IFERROR(__xludf.DUMMYFUNCTION("IMPORTRANGE(""https://docs.google.com/spreadsheets/d/1SX6NBoVAgQJ6U1MVXOaj8PK2l7WJ3RER9xtqwdhxkhw/edit?usp=sharing"",""สิงห์บุรี!I530"")"),19.0)</f>
        <v>19</v>
      </c>
      <c r="J635" s="544">
        <f>IFERROR(__xludf.DUMMYFUNCTION("IMPORTRANGE(""https://docs.google.com/spreadsheets/d/1SX6NBoVAgQJ6U1MVXOaj8PK2l7WJ3RER9xtqwdhxkhw/edit?usp=sharing"",""สิงห์บุรี!J530"")"),0.0)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277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7135250</v>
      </c>
      <c r="M8" s="41">
        <f t="shared" si="1"/>
        <v>2232595</v>
      </c>
      <c r="N8" s="41">
        <f t="shared" si="1"/>
        <v>2542952.98</v>
      </c>
      <c r="O8" s="40">
        <f t="shared" ref="O8:O16" si="3">IF(L8&gt;0,N8*100/L8,0)</f>
        <v>35.63929757</v>
      </c>
      <c r="P8" s="40">
        <f t="shared" ref="P8:P16" si="4">IF(M8&gt;0,N8*100/M8,0)</f>
        <v>113.9012217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7135250</v>
      </c>
      <c r="M10" s="48">
        <f t="shared" si="5"/>
        <v>2232595</v>
      </c>
      <c r="N10" s="48">
        <f t="shared" si="5"/>
        <v>2542952.98</v>
      </c>
      <c r="O10" s="47">
        <f t="shared" si="3"/>
        <v>35.63929757</v>
      </c>
      <c r="P10" s="47">
        <f t="shared" si="4"/>
        <v>113.9012217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6202250</v>
      </c>
      <c r="M12" s="58">
        <f t="shared" si="7"/>
        <v>2232595</v>
      </c>
      <c r="N12" s="58">
        <f t="shared" si="7"/>
        <v>1609952.98</v>
      </c>
      <c r="O12" s="58">
        <f t="shared" si="3"/>
        <v>25.95756346</v>
      </c>
      <c r="P12" s="58">
        <f t="shared" si="4"/>
        <v>72.11128664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2351700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3850550</v>
      </c>
      <c r="M14" s="58">
        <f t="shared" si="9"/>
        <v>0</v>
      </c>
      <c r="N14" s="58">
        <f t="shared" si="9"/>
        <v>279417.98</v>
      </c>
      <c r="O14" s="61">
        <f t="shared" si="3"/>
        <v>7.256573217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933000</v>
      </c>
      <c r="M16" s="58">
        <f t="shared" si="11"/>
        <v>0</v>
      </c>
      <c r="N16" s="58">
        <f t="shared" si="11"/>
        <v>933000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4527855</v>
      </c>
      <c r="M18" s="41">
        <f t="shared" si="12"/>
        <v>2232595</v>
      </c>
      <c r="N18" s="41">
        <f t="shared" si="12"/>
        <v>2263535</v>
      </c>
      <c r="O18" s="40">
        <f t="shared" ref="O18:O20" si="14">IF(L18&gt;0,N18*100/L18,0)</f>
        <v>49.99133144</v>
      </c>
      <c r="P18" s="40">
        <f t="shared" ref="P18:P26" si="15">IF(M18&gt;0,N18*100/M18,0)</f>
        <v>101.3858313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4527855</v>
      </c>
      <c r="M20" s="48">
        <f t="shared" si="16"/>
        <v>2232595</v>
      </c>
      <c r="N20" s="48">
        <f t="shared" si="16"/>
        <v>2263535</v>
      </c>
      <c r="O20" s="47">
        <f t="shared" si="14"/>
        <v>49.99133144</v>
      </c>
      <c r="P20" s="47">
        <f t="shared" si="15"/>
        <v>101.3858313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3594855</v>
      </c>
      <c r="M22" s="62">
        <f t="shared" si="18"/>
        <v>2232595</v>
      </c>
      <c r="N22" s="61">
        <f t="shared" si="18"/>
        <v>1330535</v>
      </c>
      <c r="O22" s="61">
        <f t="shared" si="19"/>
        <v>37.01220216</v>
      </c>
      <c r="P22" s="61">
        <f t="shared" si="15"/>
        <v>59.59589626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2351700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1243155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933000</v>
      </c>
      <c r="M26" s="70">
        <f t="shared" si="23"/>
        <v>0</v>
      </c>
      <c r="N26" s="70">
        <f t="shared" si="23"/>
        <v>933000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2607395</v>
      </c>
      <c r="M28" s="41">
        <f t="shared" si="24"/>
        <v>0</v>
      </c>
      <c r="N28" s="41">
        <f t="shared" si="24"/>
        <v>279417.98</v>
      </c>
      <c r="O28" s="40">
        <f t="shared" ref="O28:O30" si="26">IF(L28&gt;0,N28*100/L28,0)</f>
        <v>10.71636557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2607395</v>
      </c>
      <c r="M30" s="48">
        <f t="shared" si="28"/>
        <v>0</v>
      </c>
      <c r="N30" s="48">
        <f t="shared" si="28"/>
        <v>279417.98</v>
      </c>
      <c r="O30" s="47">
        <f t="shared" si="26"/>
        <v>10.71636557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2607395</v>
      </c>
      <c r="M32" s="61">
        <f t="shared" si="30"/>
        <v>0</v>
      </c>
      <c r="N32" s="61">
        <f t="shared" si="30"/>
        <v>279417.98</v>
      </c>
      <c r="O32" s="61">
        <f t="shared" si="31"/>
        <v>10.71636557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2607395</v>
      </c>
      <c r="M34" s="61">
        <f t="shared" si="33"/>
        <v>0</v>
      </c>
      <c r="N34" s="61">
        <f t="shared" si="33"/>
        <v>279417.98</v>
      </c>
      <c r="O34" s="61">
        <f t="shared" si="31"/>
        <v>10.71636557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4527855</v>
      </c>
      <c r="M37" s="75">
        <f t="shared" si="34"/>
        <v>2232595</v>
      </c>
      <c r="N37" s="75">
        <f t="shared" si="34"/>
        <v>2263535</v>
      </c>
      <c r="O37" s="76">
        <f t="shared" si="31"/>
        <v>49.99133144</v>
      </c>
      <c r="P37" s="76">
        <f t="shared" si="27"/>
        <v>101.3858313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851300</v>
      </c>
      <c r="M41" s="102">
        <f t="shared" si="35"/>
        <v>425600</v>
      </c>
      <c r="N41" s="102">
        <f t="shared" si="35"/>
        <v>318665</v>
      </c>
      <c r="O41" s="101">
        <f t="shared" ref="O41:O43" si="37">IF(L41&gt;0,N41*100/L41,0)</f>
        <v>37.43274991</v>
      </c>
      <c r="P41" s="101">
        <f t="shared" ref="P41:P43" si="38">IF(M41&gt;0,N41*100/M41,0)</f>
        <v>74.87429511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851300</v>
      </c>
      <c r="M43" s="102">
        <f t="shared" si="39"/>
        <v>425600</v>
      </c>
      <c r="N43" s="102">
        <f t="shared" si="39"/>
        <v>318665</v>
      </c>
      <c r="O43" s="101">
        <f t="shared" si="37"/>
        <v>37.43274991</v>
      </c>
      <c r="P43" s="101">
        <f t="shared" si="38"/>
        <v>74.87429511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851300</v>
      </c>
      <c r="M45" s="115">
        <f>IFERROR(__xludf.DUMMYFUNCTION("IMPORTRANGE(""https://docs.google.com/spreadsheets/d/1Yj_ptqi66GCucihVvJfMjLAmec39IyEx_6qawtMGysU/edit?usp=sharing"",""สบก!Q78"")"),425600.0)</f>
        <v>425600</v>
      </c>
      <c r="N45" s="115">
        <f>IFERROR(__xludf.DUMMYFUNCTION("IMPORTRANGE(""https://docs.google.com/spreadsheets/d/1Yj_ptqi66GCucihVvJfMjLAmec39IyEx_6qawtMGysU/edit?usp=sharing"",""สบก!R78"")"),318665.0)</f>
        <v>318665</v>
      </c>
      <c r="O45" s="116">
        <f>IF(L45&gt;0,N45*100/L45,0)</f>
        <v>37.43274991</v>
      </c>
      <c r="P45" s="116">
        <f>IF(M45&gt;0,N45*100/M45,0)</f>
        <v>74.87429511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IFERROR(__xludf.DUMMYFUNCTION("IMPORTRANGE(""https://docs.google.com/spreadsheets/d/1Yj_ptqi66GCucihVvJfMjLAmec39IyEx_6qawtMGysU/edit?usp=sharing"",""สบก!M78"")"),851300.0)</f>
        <v>851300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IFERROR(__xludf.DUMMYFUNCTION("IMPORTRANGE(""https://docs.google.com/spreadsheets/d/1Yj_ptqi66GCucihVvJfMjLAmec39IyEx_6qawtMGysU/edit?usp=sharing"",""สบก!N78"")"),0.0)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IFERROR(__xludf.DUMMYFUNCTION("IMPORTRANGE(""https://docs.google.com/spreadsheets/d/1Yj_ptqi66GCucihVvJfMjLAmec39IyEx_6qawtMGysU/edit?usp=sharing"",""สบก!O78"")"),0.0)</f>
        <v>0</v>
      </c>
      <c r="M49" s="125"/>
      <c r="N49" s="115">
        <f>IFERROR(__xludf.DUMMYFUNCTION("IMPORTRANGE(""https://docs.google.com/spreadsheets/d/1Yj_ptqi66GCucihVvJfMjLAmec39IyEx_6qawtMGysU/edit?usp=sharing"",""สบก!S78"")"),0.0)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600000</v>
      </c>
      <c r="M53" s="151">
        <f t="shared" si="40"/>
        <v>495650</v>
      </c>
      <c r="N53" s="151">
        <f t="shared" si="40"/>
        <v>334931</v>
      </c>
      <c r="O53" s="150">
        <f t="shared" ref="O53:O55" si="42">IF(L53&gt;0,N53*100/L53,0)</f>
        <v>55.82183333</v>
      </c>
      <c r="P53" s="150">
        <f t="shared" ref="P53:P55" si="43">IF(M53&gt;0,N53*100/M53,0)</f>
        <v>67.57409462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600000</v>
      </c>
      <c r="M55" s="151">
        <f t="shared" si="44"/>
        <v>495650</v>
      </c>
      <c r="N55" s="151">
        <f t="shared" si="44"/>
        <v>334931</v>
      </c>
      <c r="O55" s="150">
        <f t="shared" si="42"/>
        <v>55.82183333</v>
      </c>
      <c r="P55" s="150">
        <f t="shared" si="43"/>
        <v>67.57409462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600000</v>
      </c>
      <c r="M57" s="115">
        <f>IFERROR(__xludf.DUMMYFUNCTION("IMPORTRANGE(""https://docs.google.com/spreadsheets/d/1Yj_ptqi66GCucihVvJfMjLAmec39IyEx_6qawtMGysU/edit?usp=sharing"",""สบก!Z78"")"),495650.0)</f>
        <v>495650</v>
      </c>
      <c r="N57" s="115">
        <f>IFERROR(__xludf.DUMMYFUNCTION("IMPORTRANGE(""https://docs.google.com/spreadsheets/d/1Yj_ptqi66GCucihVvJfMjLAmec39IyEx_6qawtMGysU/edit?usp=sharing"",""สบก!AA78"")"),334931.0)</f>
        <v>334931</v>
      </c>
      <c r="O57" s="116">
        <f>IF(L57&gt;0,N57*100/L57,0)</f>
        <v>55.82183333</v>
      </c>
      <c r="P57" s="116">
        <f>IF(M57&gt;0,N57*100/M57,0)</f>
        <v>67.57409462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IFERROR(__xludf.DUMMYFUNCTION("IMPORTRANGE(""https://docs.google.com/spreadsheets/d/1Yj_ptqi66GCucihVvJfMjLAmec39IyEx_6qawtMGysU/edit?usp=sharing"",""สบก!V78"")"),600000.0)</f>
        <v>600000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IFERROR(__xludf.DUMMYFUNCTION("IMPORTRANGE(""https://docs.google.com/spreadsheets/d/1Yj_ptqi66GCucihVvJfMjLAmec39IyEx_6qawtMGysU/edit?usp=sharing"",""สบก!W78"")"),0.0)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IFERROR(__xludf.DUMMYFUNCTION("IMPORTRANGE(""https://docs.google.com/spreadsheets/d/1Yj_ptqi66GCucihVvJfMjLAmec39IyEx_6qawtMGysU/edit?usp=sharing"",""สบก!X78"")"),0.0)</f>
        <v>0</v>
      </c>
      <c r="M61" s="125"/>
      <c r="N61" s="115">
        <f>IFERROR(__xludf.DUMMYFUNCTION("IMPORTRANGE(""https://docs.google.com/spreadsheets/d/1Yj_ptqi66GCucihVvJfMjLAmec39IyEx_6qawtMGysU/edit?usp=sharing"",""สบก!AB78"")"),0.0)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IFERROR(__xludf.DUMMYFUNCTION("IMPORTRANGE(""https://docs.google.com/spreadsheets/d/1SX6NBoVAgQJ6U1MVXOaj8PK2l7WJ3RER9xtqwdhxkhw/edit?usp=sharing"",""สุพรรณบุรี!I9"")"),2.0)</f>
        <v>2</v>
      </c>
      <c r="J64" s="172">
        <f>IFERROR(__xludf.DUMMYFUNCTION("IMPORTRANGE(""https://docs.google.com/spreadsheets/d/1SX6NBoVAgQJ6U1MVXOaj8PK2l7WJ3RER9xtqwdhxkhw/edit?usp=sharing"",""สุพรรณบุรี!J9"")"),2.0)</f>
        <v>2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IFERROR(__xludf.DUMMYFUNCTION("IMPORTRANGE(""https://docs.google.com/spreadsheets/d/1SX6NBoVAgQJ6U1MVXOaj8PK2l7WJ3RER9xtqwdhxkhw/edit?usp=sharing"",""สุพรรณบุรี!I10"")"),70.0)</f>
        <v>70</v>
      </c>
      <c r="J65" s="172">
        <f>IFERROR(__xludf.DUMMYFUNCTION("IMPORTRANGE(""https://docs.google.com/spreadsheets/d/1SX6NBoVAgQJ6U1MVXOaj8PK2l7WJ3RER9xtqwdhxkhw/edit?usp=sharing"",""สุพรรณบุรี!J10"")"),70.0)</f>
        <v>70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1870200</v>
      </c>
      <c r="M66" s="183">
        <f t="shared" si="46"/>
        <v>546100</v>
      </c>
      <c r="N66" s="183">
        <f t="shared" si="46"/>
        <v>1288410</v>
      </c>
      <c r="O66" s="182">
        <f t="shared" ref="O66:O68" si="48">IF(L66&gt;0,N66*100/L66,0)</f>
        <v>68.8915624</v>
      </c>
      <c r="P66" s="182">
        <f t="shared" ref="P66:P68" si="49">IF(M66&gt;0,N66*100/M66,0)</f>
        <v>235.929317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1870200</v>
      </c>
      <c r="M68" s="188">
        <f t="shared" si="50"/>
        <v>546100</v>
      </c>
      <c r="N68" s="188">
        <f t="shared" si="50"/>
        <v>1288410</v>
      </c>
      <c r="O68" s="187">
        <f t="shared" si="48"/>
        <v>68.8915624</v>
      </c>
      <c r="P68" s="187">
        <f t="shared" si="49"/>
        <v>235.929317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947200</v>
      </c>
      <c r="M70" s="201">
        <f>IFERROR(__xludf.DUMMYFUNCTION("IMPORTRANGE(""https://docs.google.com/spreadsheets/d/1Yj_ptqi66GCucihVvJfMjLAmec39IyEx_6qawtMGysU/edit?usp=sharing"",""สบก!AI78"")"),546100.0)</f>
        <v>546100</v>
      </c>
      <c r="N70" s="202">
        <f>IFERROR(__xludf.DUMMYFUNCTION("IMPORTRANGE(""https://docs.google.com/spreadsheets/d/1Yj_ptqi66GCucihVvJfMjLAmec39IyEx_6qawtMGysU/edit?usp=sharing"",""สบก!AJ78"")"),365410.0)</f>
        <v>365410</v>
      </c>
      <c r="O70" s="203">
        <f>IF(L70&gt;0,N70*100/L70,0)</f>
        <v>38.57791385</v>
      </c>
      <c r="P70" s="203">
        <f>IF(M70&gt;0,N70*100/M70,0)</f>
        <v>66.91265336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IFERROR(__xludf.DUMMYFUNCTION("IMPORTRANGE(""https://docs.google.com/spreadsheets/d/1Yj_ptqi66GCucihVvJfMjLAmec39IyEx_6qawtMGysU/edit?usp=sharing"",""สบก!AE78"")"),317200.0)</f>
        <v>317200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IFERROR(__xludf.DUMMYFUNCTION("IMPORTRANGE(""https://docs.google.com/spreadsheets/d/1Yj_ptqi66GCucihVvJfMjLAmec39IyEx_6qawtMGysU/edit?usp=sharing"",""สบก!AF78"")"),630000.0)</f>
        <v>630000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IFERROR(__xludf.DUMMYFUNCTION("IMPORTRANGE(""https://docs.google.com/spreadsheets/d/1Yj_ptqi66GCucihVvJfMjLAmec39IyEx_6qawtMGysU/edit?usp=sharing"",""สบก!AG78"")"),923000.0)</f>
        <v>923000</v>
      </c>
      <c r="M74" s="125"/>
      <c r="N74" s="115">
        <f>IFERROR(__xludf.DUMMYFUNCTION("IMPORTRANGE(""https://docs.google.com/spreadsheets/d/1Yj_ptqi66GCucihVvJfMjLAmec39IyEx_6qawtMGysU/edit?usp=sharing"",""สบก!AK78"")"),923000.0)</f>
        <v>923000</v>
      </c>
      <c r="O74" s="125">
        <f>IF(L74&gt;0,N74*100/L74,0)</f>
        <v>100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IFERROR(__xludf.DUMMYFUNCTION("IMPORTRANGE(""https://docs.google.com/spreadsheets/d/1SX6NBoVAgQJ6U1MVXOaj8PK2l7WJ3RER9xtqwdhxkhw/edit?usp=sharing"",""สุพรรณบุรี!J16"")"),0.0)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IFERROR(__xludf.DUMMYFUNCTION("IMPORTRANGE(""https://docs.google.com/spreadsheets/d/1SX6NBoVAgQJ6U1MVXOaj8PK2l7WJ3RER9xtqwdhxkhw/edit?usp=sharing"",""สุพรรณบุรี!J17"")"),1.0)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IFERROR(__xludf.DUMMYFUNCTION("IMPORTRANGE(""https://docs.google.com/spreadsheets/d/1SX6NBoVAgQJ6U1MVXOaj8PK2l7WJ3RER9xtqwdhxkhw/edit?usp=sharing"",""สุพรรณบุรี!J18"")"),1.0)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IFERROR(__xludf.DUMMYFUNCTION("IMPORTRANGE(""https://docs.google.com/spreadsheets/d/1SX6NBoVAgQJ6U1MVXOaj8PK2l7WJ3RER9xtqwdhxkhw/edit?usp=sharing"",""สุพรรณบุรี!J19"")"),1.0)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IFERROR(__xludf.DUMMYFUNCTION("IMPORTRANGE(""https://docs.google.com/spreadsheets/d/1SX6NBoVAgQJ6U1MVXOaj8PK2l7WJ3RER9xtqwdhxkhw/edit?usp=sharing"",""สุพรรณบุรี!I20"")"),2.0)</f>
        <v>2</v>
      </c>
      <c r="J80" s="235">
        <f>IFERROR(__xludf.DUMMYFUNCTION("IMPORTRANGE(""https://docs.google.com/spreadsheets/d/1SX6NBoVAgQJ6U1MVXOaj8PK2l7WJ3RER9xtqwdhxkhw/edit?usp=sharing"",""สุพรรณบุรี!J20"")"),2.0)</f>
        <v>2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IFERROR(__xludf.DUMMYFUNCTION("IMPORTRANGE(""https://docs.google.com/spreadsheets/d/1SX6NBoVAgQJ6U1MVXOaj8PK2l7WJ3RER9xtqwdhxkhw/edit?usp=sharing"",""สุพรรณบุรี!I21"")"),70.0)</f>
        <v>70</v>
      </c>
      <c r="J81" s="235">
        <f>IFERROR(__xludf.DUMMYFUNCTION("IMPORTRANGE(""https://docs.google.com/spreadsheets/d/1SX6NBoVAgQJ6U1MVXOaj8PK2l7WJ3RER9xtqwdhxkhw/edit?usp=sharing"",""สุพรรณบุรี!J21"")"),70.0)</f>
        <v>70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IFERROR(__xludf.DUMMYFUNCTION("IMPORTRANGE(""https://docs.google.com/spreadsheets/d/1SX6NBoVAgQJ6U1MVXOaj8PK2l7WJ3RER9xtqwdhxkhw/edit?usp=sharing"",""สุพรรณบุรี!I22"")"),0.0)</f>
        <v>0</v>
      </c>
      <c r="J82" s="238">
        <f>IFERROR(__xludf.DUMMYFUNCTION("IMPORTRANGE(""https://docs.google.com/spreadsheets/d/1SX6NBoVAgQJ6U1MVXOaj8PK2l7WJ3RER9xtqwdhxkhw/edit?usp=sharing"",""สุพรรณบุรี!J22"")"),0.0)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IFERROR(__xludf.DUMMYFUNCTION("IMPORTRANGE(""https://docs.google.com/spreadsheets/d/1SX6NBoVAgQJ6U1MVXOaj8PK2l7WJ3RER9xtqwdhxkhw/edit?usp=sharing"",""สุพรรณบุรี!I23"")"),0.0)</f>
        <v>0</v>
      </c>
      <c r="J83" s="238">
        <f>IFERROR(__xludf.DUMMYFUNCTION("IMPORTRANGE(""https://docs.google.com/spreadsheets/d/1SX6NBoVAgQJ6U1MVXOaj8PK2l7WJ3RER9xtqwdhxkhw/edit?usp=sharing"",""สุพรรณบุรี!J23"")"),0.0)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IFERROR(__xludf.DUMMYFUNCTION("IMPORTRANGE(""https://docs.google.com/spreadsheets/d/1SX6NBoVAgQJ6U1MVXOaj8PK2l7WJ3RER9xtqwdhxkhw/edit?usp=sharing"",""สุพรรณบุรี!I24"")"),0.0)</f>
        <v>0</v>
      </c>
      <c r="J84" s="223">
        <f>IFERROR(__xludf.DUMMYFUNCTION("IMPORTRANGE(""https://docs.google.com/spreadsheets/d/1SX6NBoVAgQJ6U1MVXOaj8PK2l7WJ3RER9xtqwdhxkhw/edit?usp=sharing"",""สุพรรณบุรี!J24"")"),0.0)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IFERROR(__xludf.DUMMYFUNCTION("IMPORTRANGE(""https://docs.google.com/spreadsheets/d/1SX6NBoVAgQJ6U1MVXOaj8PK2l7WJ3RER9xtqwdhxkhw/edit?usp=sharing"",""สุพรรณบุรี!I25"")"),0.0)</f>
        <v>0</v>
      </c>
      <c r="J85" s="223">
        <f>IFERROR(__xludf.DUMMYFUNCTION("IMPORTRANGE(""https://docs.google.com/spreadsheets/d/1SX6NBoVAgQJ6U1MVXOaj8PK2l7WJ3RER9xtqwdhxkhw/edit?usp=sharing"",""สุพรรณบุรี!J25"")"),0.0)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IFERROR(__xludf.DUMMYFUNCTION("IMPORTRANGE(""https://docs.google.com/spreadsheets/d/1SX6NBoVAgQJ6U1MVXOaj8PK2l7WJ3RER9xtqwdhxkhw/edit?usp=sharing"",""สุพรรณบุรี!I26"")"),2.0)</f>
        <v>2</v>
      </c>
      <c r="J86" s="238">
        <f>IFERROR(__xludf.DUMMYFUNCTION("IMPORTRANGE(""https://docs.google.com/spreadsheets/d/1SX6NBoVAgQJ6U1MVXOaj8PK2l7WJ3RER9xtqwdhxkhw/edit?usp=sharing"",""สุพรรณบุรี!J26"")"),2.0)</f>
        <v>2</v>
      </c>
      <c r="K86" s="196">
        <f t="shared" si="51"/>
        <v>100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IFERROR(__xludf.DUMMYFUNCTION("IMPORTRANGE(""https://docs.google.com/spreadsheets/d/1SX6NBoVAgQJ6U1MVXOaj8PK2l7WJ3RER9xtqwdhxkhw/edit?usp=sharing"",""สุพรรณบุรี!I27"")"),70.0)</f>
        <v>70</v>
      </c>
      <c r="J87" s="238">
        <f>IFERROR(__xludf.DUMMYFUNCTION("IMPORTRANGE(""https://docs.google.com/spreadsheets/d/1SX6NBoVAgQJ6U1MVXOaj8PK2l7WJ3RER9xtqwdhxkhw/edit?usp=sharing"",""สุพรรณบุรี!J27"")"),70.0)</f>
        <v>70</v>
      </c>
      <c r="K87" s="196">
        <f t="shared" si="51"/>
        <v>100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IFERROR(__xludf.DUMMYFUNCTION("IMPORTRANGE(""https://docs.google.com/spreadsheets/d/1SX6NBoVAgQJ6U1MVXOaj8PK2l7WJ3RER9xtqwdhxkhw/edit?usp=sharing"",""สุพรรณบุรี!I28"")"),0.0)</f>
        <v>0</v>
      </c>
      <c r="J88" s="238">
        <f>IFERROR(__xludf.DUMMYFUNCTION("IMPORTRANGE(""https://docs.google.com/spreadsheets/d/1SX6NBoVAgQJ6U1MVXOaj8PK2l7WJ3RER9xtqwdhxkhw/edit?usp=sharing"",""สุพรรณบุรี!J28"")"),0.0)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IFERROR(__xludf.DUMMYFUNCTION("IMPORTRANGE(""https://docs.google.com/spreadsheets/d/1SX6NBoVAgQJ6U1MVXOaj8PK2l7WJ3RER9xtqwdhxkhw/edit?usp=sharing"",""สุพรรณบุรี!J29"")"),0.0)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IFERROR(__xludf.DUMMYFUNCTION("IMPORTRANGE(""https://docs.google.com/spreadsheets/d/1SX6NBoVAgQJ6U1MVXOaj8PK2l7WJ3RER9xtqwdhxkhw/edit?usp=sharing"",""สุพรรณบุรี!J30"")"),0.0)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IFERROR(__xludf.DUMMYFUNCTION("IMPORTRANGE(""https://docs.google.com/spreadsheets/d/1SX6NBoVAgQJ6U1MVXOaj8PK2l7WJ3RER9xtqwdhxkhw/edit?usp=sharing"",""สุพรรณบุรี!I32"")"),0.0)</f>
        <v>0</v>
      </c>
      <c r="J92" s="172">
        <f>IFERROR(__xludf.DUMMYFUNCTION("IMPORTRANGE(""https://docs.google.com/spreadsheets/d/1SX6NBoVAgQJ6U1MVXOaj8PK2l7WJ3RER9xtqwdhxkhw/edit?usp=sharing"",""สุพรรณบุรี!J32"")"),0.0)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IFERROR(__xludf.DUMMYFUNCTION("IMPORTRANGE(""https://docs.google.com/spreadsheets/d/1SX6NBoVAgQJ6U1MVXOaj8PK2l7WJ3RER9xtqwdhxkhw/edit?usp=sharing"",""สุพรรณบุรี!I33"")"),0.0)</f>
        <v>0</v>
      </c>
      <c r="J93" s="172">
        <f>IFERROR(__xludf.DUMMYFUNCTION("IMPORTRANGE(""https://docs.google.com/spreadsheets/d/1SX6NBoVAgQJ6U1MVXOaj8PK2l7WJ3RER9xtqwdhxkhw/edit?usp=sharing"",""สุพรรณบุรี!J33"")"),0.0)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IFERROR(__xludf.DUMMYFUNCTION("IMPORTRANGE(""https://docs.google.com/spreadsheets/d/1Yj_ptqi66GCucihVvJfMjLAmec39IyEx_6qawtMGysU/edit?usp=sharing"",""สบก!AR78"")"),0.0)</f>
        <v>0</v>
      </c>
      <c r="N98" s="202">
        <f>IFERROR(__xludf.DUMMYFUNCTION("IMPORTRANGE(""https://docs.google.com/spreadsheets/d/1Yj_ptqi66GCucihVvJfMjLAmec39IyEx_6qawtMGysU/edit?usp=sharing"",""สบก!AS78"")"),0.0)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IFERROR(__xludf.DUMMYFUNCTION("IMPORTRANGE(""https://docs.google.com/spreadsheets/d/1Yj_ptqi66GCucihVvJfMjLAmec39IyEx_6qawtMGysU/edit?usp=sharing"",""สบก!AN78"")"),0.0)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IFERROR(__xludf.DUMMYFUNCTION("IMPORTRANGE(""https://docs.google.com/spreadsheets/d/1Yj_ptqi66GCucihVvJfMjLAmec39IyEx_6qawtMGysU/edit?usp=sharing"",""สบก!AO78"")"),0.0)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IFERROR(__xludf.DUMMYFUNCTION("IMPORTRANGE(""https://docs.google.com/spreadsheets/d/1Yj_ptqi66GCucihVvJfMjLAmec39IyEx_6qawtMGysU/edit?usp=sharing"",""สบก!AP78"")"),0.0)</f>
        <v>0</v>
      </c>
      <c r="M102" s="125"/>
      <c r="N102" s="115">
        <f>IFERROR(__xludf.DUMMYFUNCTION("IMPORTRANGE(""https://docs.google.com/spreadsheets/d/1Yj_ptqi66GCucihVvJfMjLAmec39IyEx_6qawtMGysU/edit?usp=sharing"",""สบก!AT78"")"),0.0)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IFERROR(__xludf.DUMMYFUNCTION("IMPORTRANGE(""https://docs.google.com/spreadsheets/d/1SX6NBoVAgQJ6U1MVXOaj8PK2l7WJ3RER9xtqwdhxkhw/edit?usp=sharing"",""สุพรรณบุรี!J39"")"),0.0)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IFERROR(__xludf.DUMMYFUNCTION("IMPORTRANGE(""https://docs.google.com/spreadsheets/d/1SX6NBoVAgQJ6U1MVXOaj8PK2l7WJ3RER9xtqwdhxkhw/edit?usp=sharing"",""สุพรรณบุรี!J40"")"),0.0)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IFERROR(__xludf.DUMMYFUNCTION("IMPORTRANGE(""https://docs.google.com/spreadsheets/d/1SX6NBoVAgQJ6U1MVXOaj8PK2l7WJ3RER9xtqwdhxkhw/edit?usp=sharing"",""สุพรรณบุรี!J41"")"),0.0)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IFERROR(__xludf.DUMMYFUNCTION("IMPORTRANGE(""https://docs.google.com/spreadsheets/d/1SX6NBoVAgQJ6U1MVXOaj8PK2l7WJ3RER9xtqwdhxkhw/edit?usp=sharing"",""สุพรรณบุรี!J42"")"),0.0)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IFERROR(__xludf.DUMMYFUNCTION("IMPORTRANGE(""https://docs.google.com/spreadsheets/d/1SX6NBoVAgQJ6U1MVXOaj8PK2l7WJ3RER9xtqwdhxkhw/edit?usp=sharing"",""สุพรรณบุรี!I43"")"),0.0)</f>
        <v>0</v>
      </c>
      <c r="J108" s="238">
        <f>IFERROR(__xludf.DUMMYFUNCTION("IMPORTRANGE(""https://docs.google.com/spreadsheets/d/1SX6NBoVAgQJ6U1MVXOaj8PK2l7WJ3RER9xtqwdhxkhw/edit?usp=sharing"",""สุพรรณบุรี!J43"")"),0.0)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IFERROR(__xludf.DUMMYFUNCTION("IMPORTRANGE(""https://docs.google.com/spreadsheets/d/1SX6NBoVAgQJ6U1MVXOaj8PK2l7WJ3RER9xtqwdhxkhw/edit?usp=sharing"",""สุพรรณบุรี!I44"")"),0.0)</f>
        <v>0</v>
      </c>
      <c r="J109" s="238">
        <f>IFERROR(__xludf.DUMMYFUNCTION("IMPORTRANGE(""https://docs.google.com/spreadsheets/d/1SX6NBoVAgQJ6U1MVXOaj8PK2l7WJ3RER9xtqwdhxkhw/edit?usp=sharing"",""สุพรรณบุรี!J44"")"),0.0)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IFERROR(__xludf.DUMMYFUNCTION("IMPORTRANGE(""https://docs.google.com/spreadsheets/d/1SX6NBoVAgQJ6U1MVXOaj8PK2l7WJ3RER9xtqwdhxkhw/edit?usp=sharing"",""สุพรรณบุรี!I45"")"),0.0)</f>
        <v>0</v>
      </c>
      <c r="J110" s="238">
        <f>IFERROR(__xludf.DUMMYFUNCTION("IMPORTRANGE(""https://docs.google.com/spreadsheets/d/1SX6NBoVAgQJ6U1MVXOaj8PK2l7WJ3RER9xtqwdhxkhw/edit?usp=sharing"",""สุพรรณบุรี!J45"")"),0.0)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IFERROR(__xludf.DUMMYFUNCTION("IMPORTRANGE(""https://docs.google.com/spreadsheets/d/1SX6NBoVAgQJ6U1MVXOaj8PK2l7WJ3RER9xtqwdhxkhw/edit?usp=sharing"",""สุพรรณบุรี!I46"")"),0.0)</f>
        <v>0</v>
      </c>
      <c r="J111" s="238">
        <f>IFERROR(__xludf.DUMMYFUNCTION("IMPORTRANGE(""https://docs.google.com/spreadsheets/d/1SX6NBoVAgQJ6U1MVXOaj8PK2l7WJ3RER9xtqwdhxkhw/edit?usp=sharing"",""สุพรรณบุรี!J46"")"),0.0)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IFERROR(__xludf.DUMMYFUNCTION("IMPORTRANGE(""https://docs.google.com/spreadsheets/d/1SX6NBoVAgQJ6U1MVXOaj8PK2l7WJ3RER9xtqwdhxkhw/edit?usp=sharing"",""สุพรรณบุรี!I47"")"),0.0)</f>
        <v>0</v>
      </c>
      <c r="J112" s="238">
        <f>IFERROR(__xludf.DUMMYFUNCTION("IMPORTRANGE(""https://docs.google.com/spreadsheets/d/1SX6NBoVAgQJ6U1MVXOaj8PK2l7WJ3RER9xtqwdhxkhw/edit?usp=sharing"",""สุพรรณบุรี!J47"")"),0.0)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IFERROR(__xludf.DUMMYFUNCTION("IMPORTRANGE(""https://docs.google.com/spreadsheets/d/1SX6NBoVAgQJ6U1MVXOaj8PK2l7WJ3RER9xtqwdhxkhw/edit?usp=sharing"",""สุพรรณบุรี!I48"")"),0.0)</f>
        <v>0</v>
      </c>
      <c r="J113" s="238">
        <f>IFERROR(__xludf.DUMMYFUNCTION("IMPORTRANGE(""https://docs.google.com/spreadsheets/d/1SX6NBoVAgQJ6U1MVXOaj8PK2l7WJ3RER9xtqwdhxkhw/edit?usp=sharing"",""สุพรรณบุรี!J48"")"),0.0)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IFERROR(__xludf.DUMMYFUNCTION("IMPORTRANGE(""https://docs.google.com/spreadsheets/d/1SX6NBoVAgQJ6U1MVXOaj8PK2l7WJ3RER9xtqwdhxkhw/edit?usp=sharing"",""สุพรรณบุรี!J49"")"),0.0)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IFERROR(__xludf.DUMMYFUNCTION("IMPORTRANGE(""https://docs.google.com/spreadsheets/d/1SX6NBoVAgQJ6U1MVXOaj8PK2l7WJ3RER9xtqwdhxkhw/edit?usp=sharing"",""สุพรรณบุรี!J50"")"),0.0)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IFERROR(__xludf.DUMMYFUNCTION("IMPORTRANGE(""https://docs.google.com/spreadsheets/d/1SX6NBoVAgQJ6U1MVXOaj8PK2l7WJ3RER9xtqwdhxkhw/edit?usp=sharing"",""สุพรรณบุรี!I52"")"),15.0)</f>
        <v>15</v>
      </c>
      <c r="J117" s="172">
        <f>IFERROR(__xludf.DUMMYFUNCTION("IMPORTRANGE(""https://docs.google.com/spreadsheets/d/1SX6NBoVAgQJ6U1MVXOaj8PK2l7WJ3RER9xtqwdhxkhw/edit?usp=sharing"",""สุพรรณบุรี!J52"")"),0.0)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64890</v>
      </c>
      <c r="M118" s="183">
        <f t="shared" si="59"/>
        <v>52890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64890</v>
      </c>
      <c r="M120" s="188">
        <f t="shared" si="63"/>
        <v>52890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64890</v>
      </c>
      <c r="M122" s="201">
        <f>IFERROR(__xludf.DUMMYFUNCTION("IMPORTRANGE(""https://docs.google.com/spreadsheets/d/1Yj_ptqi66GCucihVvJfMjLAmec39IyEx_6qawtMGysU/edit?usp=sharing"",""สบก!BA78"")"),52890.0)</f>
        <v>52890</v>
      </c>
      <c r="N122" s="202">
        <f>IFERROR(__xludf.DUMMYFUNCTION("IMPORTRANGE(""https://docs.google.com/spreadsheets/d/1Yj_ptqi66GCucihVvJfMjLAmec39IyEx_6qawtMGysU/edit?usp=sharing"",""สบก!BB78"")"),0.0)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IFERROR(__xludf.DUMMYFUNCTION("IMPORTRANGE(""https://docs.google.com/spreadsheets/d/1Yj_ptqi66GCucihVvJfMjLAmec39IyEx_6qawtMGysU/edit?usp=sharing"",""สบก!AW78"")"),0.0)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IFERROR(__xludf.DUMMYFUNCTION("IMPORTRANGE(""https://docs.google.com/spreadsheets/d/1Yj_ptqi66GCucihVvJfMjLAmec39IyEx_6qawtMGysU/edit?usp=sharing"",""สบก!AX78"")"),64890.0)</f>
        <v>64890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IFERROR(__xludf.DUMMYFUNCTION("IMPORTRANGE(""https://docs.google.com/spreadsheets/d/1Yj_ptqi66GCucihVvJfMjLAmec39IyEx_6qawtMGysU/edit?usp=sharing"",""สบก!AY78"")"),0.0)</f>
        <v>0</v>
      </c>
      <c r="M126" s="125"/>
      <c r="N126" s="115">
        <f>IFERROR(__xludf.DUMMYFUNCTION("IMPORTRANGE(""https://docs.google.com/spreadsheets/d/1Yj_ptqi66GCucihVvJfMjLAmec39IyEx_6qawtMGysU/edit?usp=sharing"",""สบก!BC78"")"),0.0)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IFERROR(__xludf.DUMMYFUNCTION("IMPORTRANGE(""https://docs.google.com/spreadsheets/d/1SX6NBoVAgQJ6U1MVXOaj8PK2l7WJ3RER9xtqwdhxkhw/edit?usp=sharing"",""สุพรรณบุรี!J58"")"),1.0)</f>
        <v>1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IFERROR(__xludf.DUMMYFUNCTION("IMPORTRANGE(""https://docs.google.com/spreadsheets/d/1SX6NBoVAgQJ6U1MVXOaj8PK2l7WJ3RER9xtqwdhxkhw/edit?usp=sharing"",""สุพรรณบุรี!J59"")"),0.0)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IFERROR(__xludf.DUMMYFUNCTION("IMPORTRANGE(""https://docs.google.com/spreadsheets/d/1SX6NBoVAgQJ6U1MVXOaj8PK2l7WJ3RER9xtqwdhxkhw/edit?usp=sharing"",""สุพรรณบุรี!J60"")"),0.0)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IFERROR(__xludf.DUMMYFUNCTION("IMPORTRANGE(""https://docs.google.com/spreadsheets/d/1SX6NBoVAgQJ6U1MVXOaj8PK2l7WJ3RER9xtqwdhxkhw/edit?usp=sharing"",""สุพรรณบุรี!J61"")"),0.0)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IFERROR(__xludf.DUMMYFUNCTION("IMPORTRANGE(""https://docs.google.com/spreadsheets/d/1SX6NBoVAgQJ6U1MVXOaj8PK2l7WJ3RER9xtqwdhxkhw/edit?usp=sharing"",""สุพรรณบุรี!I62"")"),15.0)</f>
        <v>15</v>
      </c>
      <c r="J132" s="238">
        <f>IFERROR(__xludf.DUMMYFUNCTION("IMPORTRANGE(""https://docs.google.com/spreadsheets/d/1SX6NBoVAgQJ6U1MVXOaj8PK2l7WJ3RER9xtqwdhxkhw/edit?usp=sharing"",""สุพรรณบุรี!J62"")"),0.0)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IFERROR(__xludf.DUMMYFUNCTION("IMPORTRANGE(""https://docs.google.com/spreadsheets/d/1SX6NBoVAgQJ6U1MVXOaj8PK2l7WJ3RER9xtqwdhxkhw/edit?usp=sharing"",""สุพรรณบุรี!I63"")"),15.0)</f>
        <v>15</v>
      </c>
      <c r="J133" s="238">
        <f>IFERROR(__xludf.DUMMYFUNCTION("IMPORTRANGE(""https://docs.google.com/spreadsheets/d/1SX6NBoVAgQJ6U1MVXOaj8PK2l7WJ3RER9xtqwdhxkhw/edit?usp=sharing"",""สุพรรณบุรี!J63"")"),0.0)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IFERROR(__xludf.DUMMYFUNCTION("IMPORTRANGE(""https://docs.google.com/spreadsheets/d/1SX6NBoVAgQJ6U1MVXOaj8PK2l7WJ3RER9xtqwdhxkhw/edit?usp=sharing"",""สุพรรณบุรี!J64"")"),0.0)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IFERROR(__xludf.DUMMYFUNCTION("IMPORTRANGE(""https://docs.google.com/spreadsheets/d/1SX6NBoVAgQJ6U1MVXOaj8PK2l7WJ3RER9xtqwdhxkhw/edit?usp=sharing"",""สุพรรณบุรี!J65"")"),0.0)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IFERROR(__xludf.DUMMYFUNCTION("IMPORTRANGE(""https://docs.google.com/spreadsheets/d/1SX6NBoVAgQJ6U1MVXOaj8PK2l7WJ3RER9xtqwdhxkhw/edit?usp=sharing"",""สุพรรณบุรี!I68"")"),0.0)</f>
        <v>0</v>
      </c>
      <c r="J138" s="301">
        <f>IFERROR(__xludf.DUMMYFUNCTION("IMPORTRANGE(""https://docs.google.com/spreadsheets/d/1SX6NBoVAgQJ6U1MVXOaj8PK2l7WJ3RER9xtqwdhxkhw/edit?usp=sharing"",""สุพรรณบุรี!J68"")"),0.0)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30500</v>
      </c>
      <c r="M140" s="183">
        <f t="shared" si="65"/>
        <v>109250</v>
      </c>
      <c r="N140" s="183">
        <f t="shared" si="65"/>
        <v>11060</v>
      </c>
      <c r="O140" s="182">
        <f t="shared" ref="O140:O142" si="67">IF(L140&gt;0,N140*100/L140,0)</f>
        <v>36.26229508</v>
      </c>
      <c r="P140" s="182">
        <f t="shared" ref="P140:P142" si="68">IF(M140&gt;0,N140*100/M140,0)</f>
        <v>10.12356979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30500</v>
      </c>
      <c r="M142" s="188">
        <f t="shared" si="69"/>
        <v>109250</v>
      </c>
      <c r="N142" s="188">
        <f t="shared" si="69"/>
        <v>11060</v>
      </c>
      <c r="O142" s="187">
        <f t="shared" si="67"/>
        <v>36.26229508</v>
      </c>
      <c r="P142" s="187">
        <f t="shared" si="68"/>
        <v>10.12356979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30500</v>
      </c>
      <c r="M144" s="201">
        <f>IFERROR(__xludf.DUMMYFUNCTION("IMPORTRANGE(""https://docs.google.com/spreadsheets/d/1Yj_ptqi66GCucihVvJfMjLAmec39IyEx_6qawtMGysU/edit?usp=sharing"",""สบก!BJ78"")"),109250.0)</f>
        <v>109250</v>
      </c>
      <c r="N144" s="202">
        <f>IFERROR(__xludf.DUMMYFUNCTION("IMPORTRANGE(""https://docs.google.com/spreadsheets/d/1Yj_ptqi66GCucihVvJfMjLAmec39IyEx_6qawtMGysU/edit?usp=sharing"",""สบก!BK78"")"),11060.0)</f>
        <v>11060</v>
      </c>
      <c r="O144" s="203">
        <f>IF(L144&gt;0,N144*100/L144,0)</f>
        <v>36.26229508</v>
      </c>
      <c r="P144" s="203">
        <f>IF(M144&gt;0,N144*100/M144,0)</f>
        <v>10.12356979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IFERROR(__xludf.DUMMYFUNCTION("IMPORTRANGE(""https://docs.google.com/spreadsheets/d/1Yj_ptqi66GCucihVvJfMjLAmec39IyEx_6qawtMGysU/edit?usp=sharing"",""สบก!BF78"")"),0.0)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IFERROR(__xludf.DUMMYFUNCTION("IMPORTRANGE(""https://docs.google.com/spreadsheets/d/1Yj_ptqi66GCucihVvJfMjLAmec39IyEx_6qawtMGysU/edit?usp=sharing"",""สบก!BG78"")"),30500.0)</f>
        <v>30500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IFERROR(__xludf.DUMMYFUNCTION("IMPORTRANGE(""https://docs.google.com/spreadsheets/d/1Yj_ptqi66GCucihVvJfMjLAmec39IyEx_6qawtMGysU/edit?usp=sharing"",""สบก!BH78"")"),0.0)</f>
        <v>0</v>
      </c>
      <c r="M148" s="125"/>
      <c r="N148" s="115">
        <f>IFERROR(__xludf.DUMMYFUNCTION("IMPORTRANGE(""https://docs.google.com/spreadsheets/d/1Yj_ptqi66GCucihVvJfMjLAmec39IyEx_6qawtMGysU/edit?usp=sharing"",""สบก!BL78"")"),0.0)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IFERROR(__xludf.DUMMYFUNCTION("IMPORTRANGE(""https://docs.google.com/spreadsheets/d/1SX6NBoVAgQJ6U1MVXOaj8PK2l7WJ3RER9xtqwdhxkhw/edit?usp=sharing"",""สุพรรณบุรี!I74"")"),4.0)</f>
        <v>4</v>
      </c>
      <c r="J149" s="309">
        <f>IFERROR(__xludf.DUMMYFUNCTION("IMPORTRANGE(""https://docs.google.com/spreadsheets/d/1SX6NBoVAgQJ6U1MVXOaj8PK2l7WJ3RER9xtqwdhxkhw/edit?usp=sharing"",""สุพรรณบุรี!J74"")"),1.0)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IFERROR(__xludf.DUMMYFUNCTION("IMPORTRANGE(""https://docs.google.com/spreadsheets/d/1SX6NBoVAgQJ6U1MVXOaj8PK2l7WJ3RER9xtqwdhxkhw/edit?usp=sharing"",""สุพรรณบุรี!J79"")"),0.0)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IFERROR(__xludf.DUMMYFUNCTION("IMPORTRANGE(""https://docs.google.com/spreadsheets/d/1SX6NBoVAgQJ6U1MVXOaj8PK2l7WJ3RER9xtqwdhxkhw/edit?usp=sharing"",""สุพรรณบุรี!J80"")"),1.0)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IFERROR(__xludf.DUMMYFUNCTION("IMPORTRANGE(""https://docs.google.com/spreadsheets/d/1SX6NBoVAgQJ6U1MVXOaj8PK2l7WJ3RER9xtqwdhxkhw/edit?usp=sharing"",""สุพรรณบุรี!J81"")"),1.0)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IFERROR(__xludf.DUMMYFUNCTION("IMPORTRANGE(""https://docs.google.com/spreadsheets/d/1SX6NBoVAgQJ6U1MVXOaj8PK2l7WJ3RER9xtqwdhxkhw/edit?usp=sharing"",""สุพรรณบุรี!J82"")"),0.0)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IFERROR(__xludf.DUMMYFUNCTION("IMPORTRANGE(""https://docs.google.com/spreadsheets/d/1SX6NBoVAgQJ6U1MVXOaj8PK2l7WJ3RER9xtqwdhxkhw/edit?usp=sharing"",""สุพรรณบุรี!I83"")"),4.0)</f>
        <v>4</v>
      </c>
      <c r="J158" s="223">
        <f>IFERROR(__xludf.DUMMYFUNCTION("IMPORTRANGE(""https://docs.google.com/spreadsheets/d/1SX6NBoVAgQJ6U1MVXOaj8PK2l7WJ3RER9xtqwdhxkhw/edit?usp=sharing"",""สุพรรณบุรี!J83"")"),1.0)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IFERROR(__xludf.DUMMYFUNCTION("IMPORTRANGE(""https://docs.google.com/spreadsheets/d/1SX6NBoVAgQJ6U1MVXOaj8PK2l7WJ3RER9xtqwdhxkhw/edit?usp=sharing"",""สุพรรณบุรี!J84"")"),53.0)</f>
        <v>53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IFERROR(__xludf.DUMMYFUNCTION("IMPORTRANGE(""https://docs.google.com/spreadsheets/d/1SX6NBoVAgQJ6U1MVXOaj8PK2l7WJ3RER9xtqwdhxkhw/edit?usp=sharing"",""สุพรรณบุรี!J85"")"),53.0)</f>
        <v>53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IFERROR(__xludf.DUMMYFUNCTION("IMPORTRANGE(""https://docs.google.com/spreadsheets/d/1SX6NBoVAgQJ6U1MVXOaj8PK2l7WJ3RER9xtqwdhxkhw/edit?usp=sharing"",""สุพรรณบุรี!J86"")"),0.0)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IFERROR(__xludf.DUMMYFUNCTION("IMPORTRANGE(""https://docs.google.com/spreadsheets/d/1SX6NBoVAgQJ6U1MVXOaj8PK2l7WJ3RER9xtqwdhxkhw/edit?usp=sharing"",""สุพรรณบุรี!J87"")"),0.0)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IFERROR(__xludf.DUMMYFUNCTION("IMPORTRANGE(""https://docs.google.com/spreadsheets/d/1SX6NBoVAgQJ6U1MVXOaj8PK2l7WJ3RER9xtqwdhxkhw/edit?usp=sharing"",""สุพรรณบุรี!J88"")"),0.0)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IFERROR(__xludf.DUMMYFUNCTION("IMPORTRANGE(""https://docs.google.com/spreadsheets/d/1SX6NBoVAgQJ6U1MVXOaj8PK2l7WJ3RER9xtqwdhxkhw/edit?usp=sharing"",""สุพรรณบุรี!I89"")"),1.0)</f>
        <v>1</v>
      </c>
      <c r="J164" s="317">
        <f>IFERROR(__xludf.DUMMYFUNCTION("IMPORTRANGE(""https://docs.google.com/spreadsheets/d/1SX6NBoVAgQJ6U1MVXOaj8PK2l7WJ3RER9xtqwdhxkhw/edit?usp=sharing"",""สุพรรณบุรี!J89"")"),1.0)</f>
        <v>1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IFERROR(__xludf.DUMMYFUNCTION("IMPORTRANGE(""https://docs.google.com/spreadsheets/d/1SX6NBoVAgQJ6U1MVXOaj8PK2l7WJ3RER9xtqwdhxkhw/edit?usp=sharing"",""สุพรรณบุรี!J94"")"),0.0)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IFERROR(__xludf.DUMMYFUNCTION("IMPORTRANGE(""https://docs.google.com/spreadsheets/d/1SX6NBoVAgQJ6U1MVXOaj8PK2l7WJ3RER9xtqwdhxkhw/edit?usp=sharing"",""สุพรรณบุรี!J95"")"),1.0)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IFERROR(__xludf.DUMMYFUNCTION("IMPORTRANGE(""https://docs.google.com/spreadsheets/d/1SX6NBoVAgQJ6U1MVXOaj8PK2l7WJ3RER9xtqwdhxkhw/edit?usp=sharing"",""สุพรรณบุรี!J96"")"),1.0)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IFERROR(__xludf.DUMMYFUNCTION("IMPORTRANGE(""https://docs.google.com/spreadsheets/d/1SX6NBoVAgQJ6U1MVXOaj8PK2l7WJ3RER9xtqwdhxkhw/edit?usp=sharing"",""สุพรรณบุรี!J97"")"),0.0)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IFERROR(__xludf.DUMMYFUNCTION("IMPORTRANGE(""https://docs.google.com/spreadsheets/d/1SX6NBoVAgQJ6U1MVXOaj8PK2l7WJ3RER9xtqwdhxkhw/edit?usp=sharing"",""สุพรรณบุรี!I98"")"),1.0)</f>
        <v>1</v>
      </c>
      <c r="J173" s="223">
        <f>IFERROR(__xludf.DUMMYFUNCTION("IMPORTRANGE(""https://docs.google.com/spreadsheets/d/1SX6NBoVAgQJ6U1MVXOaj8PK2l7WJ3RER9xtqwdhxkhw/edit?usp=sharing"",""สุพรรณบุรี!J98"")"),1.0)</f>
        <v>1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IFERROR(__xludf.DUMMYFUNCTION("IMPORTRANGE(""https://docs.google.com/spreadsheets/d/1SX6NBoVAgQJ6U1MVXOaj8PK2l7WJ3RER9xtqwdhxkhw/edit?usp=sharing"",""สุพรรณบุรี!J99"")"),0.0)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IFERROR(__xludf.DUMMYFUNCTION("IMPORTRANGE(""https://docs.google.com/spreadsheets/d/1SX6NBoVAgQJ6U1MVXOaj8PK2l7WJ3RER9xtqwdhxkhw/edit?usp=sharing"",""สุพรรณบุรี!J100"")"),0.0)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IFERROR(__xludf.DUMMYFUNCTION("IMPORTRANGE(""https://docs.google.com/spreadsheets/d/1SX6NBoVAgQJ6U1MVXOaj8PK2l7WJ3RER9xtqwdhxkhw/edit?usp=sharing"",""สุพรรณบุรี!I101"")"),0.0)</f>
        <v>0</v>
      </c>
      <c r="J176" s="317">
        <f>IFERROR(__xludf.DUMMYFUNCTION("IMPORTRANGE(""https://docs.google.com/spreadsheets/d/1SX6NBoVAgQJ6U1MVXOaj8PK2l7WJ3RER9xtqwdhxkhw/edit?usp=sharing"",""สุพรรณบุรี!J101"")"),0.0)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IFERROR(__xludf.DUMMYFUNCTION("IMPORTRANGE(""https://docs.google.com/spreadsheets/d/1SX6NBoVAgQJ6U1MVXOaj8PK2l7WJ3RER9xtqwdhxkhw/edit?usp=sharing"",""สุพรรณบุรี!J106"")"),0.0)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IFERROR(__xludf.DUMMYFUNCTION("IMPORTRANGE(""https://docs.google.com/spreadsheets/d/1SX6NBoVAgQJ6U1MVXOaj8PK2l7WJ3RER9xtqwdhxkhw/edit?usp=sharing"",""สุพรรณบุรี!J107"")"),0.0)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IFERROR(__xludf.DUMMYFUNCTION("IMPORTRANGE(""https://docs.google.com/spreadsheets/d/1SX6NBoVAgQJ6U1MVXOaj8PK2l7WJ3RER9xtqwdhxkhw/edit?usp=sharing"",""สุพรรณบุรี!J108"")"),0.0)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IFERROR(__xludf.DUMMYFUNCTION("IMPORTRANGE(""https://docs.google.com/spreadsheets/d/1SX6NBoVAgQJ6U1MVXOaj8PK2l7WJ3RER9xtqwdhxkhw/edit?usp=sharing"",""สุพรรณบุรี!J109"")"),0.0)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IFERROR(__xludf.DUMMYFUNCTION("IMPORTRANGE(""https://docs.google.com/spreadsheets/d/1SX6NBoVAgQJ6U1MVXOaj8PK2l7WJ3RER9xtqwdhxkhw/edit?usp=sharing"",""สุพรรณบุรี!I110"")"),0.0)</f>
        <v>0</v>
      </c>
      <c r="J185" s="238">
        <f>IFERROR(__xludf.DUMMYFUNCTION("IMPORTRANGE(""https://docs.google.com/spreadsheets/d/1SX6NBoVAgQJ6U1MVXOaj8PK2l7WJ3RER9xtqwdhxkhw/edit?usp=sharing"",""สุพรรณบุรี!J110"")"),0.0)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IFERROR(__xludf.DUMMYFUNCTION("IMPORTRANGE(""https://docs.google.com/spreadsheets/d/1SX6NBoVAgQJ6U1MVXOaj8PK2l7WJ3RER9xtqwdhxkhw/edit?usp=sharing"",""สุพรรณบุรี!I111"")"),0.0)</f>
        <v>0</v>
      </c>
      <c r="J186" s="238">
        <f>IFERROR(__xludf.DUMMYFUNCTION("IMPORTRANGE(""https://docs.google.com/spreadsheets/d/1SX6NBoVAgQJ6U1MVXOaj8PK2l7WJ3RER9xtqwdhxkhw/edit?usp=sharing"",""สุพรรณบุรี!J111"")"),0.0)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IFERROR(__xludf.DUMMYFUNCTION("IMPORTRANGE(""https://docs.google.com/spreadsheets/d/1SX6NBoVAgQJ6U1MVXOaj8PK2l7WJ3RER9xtqwdhxkhw/edit?usp=sharing"",""สุพรรณบุรี!J112"")"),0.0)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IFERROR(__xludf.DUMMYFUNCTION("IMPORTRANGE(""https://docs.google.com/spreadsheets/d/1SX6NBoVAgQJ6U1MVXOaj8PK2l7WJ3RER9xtqwdhxkhw/edit?usp=sharing"",""สุพรรณบุรี!J113"")"),0.0)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IFERROR(__xludf.DUMMYFUNCTION("IMPORTRANGE(""https://docs.google.com/spreadsheets/d/1SX6NBoVAgQJ6U1MVXOaj8PK2l7WJ3RER9xtqwdhxkhw/edit?usp=sharing"",""สุพรรณบุรี!I114"")"),20000.0)</f>
        <v>20000</v>
      </c>
      <c r="J189" s="317">
        <f>IFERROR(__xludf.DUMMYFUNCTION("IMPORTRANGE(""https://docs.google.com/spreadsheets/d/1SX6NBoVAgQJ6U1MVXOaj8PK2l7WJ3RER9xtqwdhxkhw/edit?usp=sharing"",""สุพรรณบุรี!J114"")"),0.0)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IFERROR(__xludf.DUMMYFUNCTION("IMPORTRANGE(""https://docs.google.com/spreadsheets/d/1SX6NBoVAgQJ6U1MVXOaj8PK2l7WJ3RER9xtqwdhxkhw/edit?usp=sharing"",""สุพรรณบุรี!J119"")"),0.0)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IFERROR(__xludf.DUMMYFUNCTION("IMPORTRANGE(""https://docs.google.com/spreadsheets/d/1SX6NBoVAgQJ6U1MVXOaj8PK2l7WJ3RER9xtqwdhxkhw/edit?usp=sharing"",""สุพรรณบุรี!J120"")"),1.0)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IFERROR(__xludf.DUMMYFUNCTION("IMPORTRANGE(""https://docs.google.com/spreadsheets/d/1SX6NBoVAgQJ6U1MVXOaj8PK2l7WJ3RER9xtqwdhxkhw/edit?usp=sharing"",""สุพรรณบุรี!J121"")"),1.0)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IFERROR(__xludf.DUMMYFUNCTION("IMPORTRANGE(""https://docs.google.com/spreadsheets/d/1SX6NBoVAgQJ6U1MVXOaj8PK2l7WJ3RER9xtqwdhxkhw/edit?usp=sharing"",""สุพรรณบุรี!J122"")"),0.0)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IFERROR(__xludf.DUMMYFUNCTION("IMPORTRANGE(""https://docs.google.com/spreadsheets/d/1SX6NBoVAgQJ6U1MVXOaj8PK2l7WJ3RER9xtqwdhxkhw/edit?usp=sharing"",""สุพรรณบุรี!I124"")"),20000.0)</f>
        <v>20000</v>
      </c>
      <c r="J199" s="223">
        <f>IFERROR(__xludf.DUMMYFUNCTION("IMPORTRANGE(""https://docs.google.com/spreadsheets/d/1SX6NBoVAgQJ6U1MVXOaj8PK2l7WJ3RER9xtqwdhxkhw/edit?usp=sharing"",""สุพรรณบุรี!J124"")"),20000.0)</f>
        <v>20000</v>
      </c>
      <c r="K199" s="196">
        <f t="shared" ref="K199:K201" si="71">IF(I199&gt;0,J199*100/I199,0)</f>
        <v>100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IFERROR(__xludf.DUMMYFUNCTION("IMPORTRANGE(""https://docs.google.com/spreadsheets/d/1SX6NBoVAgQJ6U1MVXOaj8PK2l7WJ3RER9xtqwdhxkhw/edit?usp=sharing"",""สุพรรณบุรี!I125"")"),20000.0)</f>
        <v>20000</v>
      </c>
      <c r="J200" s="223">
        <f>IFERROR(__xludf.DUMMYFUNCTION("IMPORTRANGE(""https://docs.google.com/spreadsheets/d/1SX6NBoVAgQJ6U1MVXOaj8PK2l7WJ3RER9xtqwdhxkhw/edit?usp=sharing"",""สุพรรณบุรี!J125"")"),0.0)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IFERROR(__xludf.DUMMYFUNCTION("IMPORTRANGE(""https://docs.google.com/spreadsheets/d/1SX6NBoVAgQJ6U1MVXOaj8PK2l7WJ3RER9xtqwdhxkhw/edit?usp=sharing"",""สุพรรณบุรี!I126"")"),0.0)</f>
        <v>0</v>
      </c>
      <c r="J201" s="223">
        <f>IFERROR(__xludf.DUMMYFUNCTION("IMPORTRANGE(""https://docs.google.com/spreadsheets/d/1SX6NBoVAgQJ6U1MVXOaj8PK2l7WJ3RER9xtqwdhxkhw/edit?usp=sharing"",""สุพรรณบุรี!J126"")"),0.0)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IFERROR(__xludf.DUMMYFUNCTION("IMPORTRANGE(""https://docs.google.com/spreadsheets/d/1SX6NBoVAgQJ6U1MVXOaj8PK2l7WJ3RER9xtqwdhxkhw/edit?usp=sharing"",""สุพรรณบุรี!J127"")"),0.0)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IFERROR(__xludf.DUMMYFUNCTION("IMPORTRANGE(""https://docs.google.com/spreadsheets/d/1SX6NBoVAgQJ6U1MVXOaj8PK2l7WJ3RER9xtqwdhxkhw/edit?usp=sharing"",""สุพรรณบุรี!J128"")"),0.0)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IFERROR(__xludf.DUMMYFUNCTION("IMPORTRANGE(""https://docs.google.com/spreadsheets/d/1SX6NBoVAgQJ6U1MVXOaj8PK2l7WJ3RER9xtqwdhxkhw/edit?usp=sharing"",""สุพรรณบุรี!I129"")"),0.0)</f>
        <v>0</v>
      </c>
      <c r="J204" s="317">
        <f>IFERROR(__xludf.DUMMYFUNCTION("IMPORTRANGE(""https://docs.google.com/spreadsheets/d/1SX6NBoVAgQJ6U1MVXOaj8PK2l7WJ3RER9xtqwdhxkhw/edit?usp=sharing"",""สุพรรณบุรี!J129"")"),0.0)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IFERROR(__xludf.DUMMYFUNCTION("IMPORTRANGE(""https://docs.google.com/spreadsheets/d/1SX6NBoVAgQJ6U1MVXOaj8PK2l7WJ3RER9xtqwdhxkhw/edit?usp=sharing"",""สุพรรณบุรี!J134"")"),0.0)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IFERROR(__xludf.DUMMYFUNCTION("IMPORTRANGE(""https://docs.google.com/spreadsheets/d/1SX6NBoVAgQJ6U1MVXOaj8PK2l7WJ3RER9xtqwdhxkhw/edit?usp=sharing"",""สุพรรณบุรี!J135"")"),0.0)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IFERROR(__xludf.DUMMYFUNCTION("IMPORTRANGE(""https://docs.google.com/spreadsheets/d/1SX6NBoVAgQJ6U1MVXOaj8PK2l7WJ3RER9xtqwdhxkhw/edit?usp=sharing"",""สุพรรณบุรี!J136"")"),0.0)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IFERROR(__xludf.DUMMYFUNCTION("IMPORTRANGE(""https://docs.google.com/spreadsheets/d/1SX6NBoVAgQJ6U1MVXOaj8PK2l7WJ3RER9xtqwdhxkhw/edit?usp=sharing"",""สุพรรณบุรี!J137"")"),0.0)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IFERROR(__xludf.DUMMYFUNCTION("IMPORTRANGE(""https://docs.google.com/spreadsheets/d/1SX6NBoVAgQJ6U1MVXOaj8PK2l7WJ3RER9xtqwdhxkhw/edit?usp=sharing"",""สุพรรณบุรี!I138"")"),0.0)</f>
        <v>0</v>
      </c>
      <c r="J213" s="238">
        <f>IFERROR(__xludf.DUMMYFUNCTION("IMPORTRANGE(""https://docs.google.com/spreadsheets/d/1SX6NBoVAgQJ6U1MVXOaj8PK2l7WJ3RER9xtqwdhxkhw/edit?usp=sharing"",""สุพรรณบุรี!J138"")"),0.0)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IFERROR(__xludf.DUMMYFUNCTION("IMPORTRANGE(""https://docs.google.com/spreadsheets/d/1SX6NBoVAgQJ6U1MVXOaj8PK2l7WJ3RER9xtqwdhxkhw/edit?usp=sharing"",""สุพรรณบุรี!I140"")"),0.0)</f>
        <v>0</v>
      </c>
      <c r="J215" s="238">
        <f>IFERROR(__xludf.DUMMYFUNCTION("IMPORTRANGE(""https://docs.google.com/spreadsheets/d/1SX6NBoVAgQJ6U1MVXOaj8PK2l7WJ3RER9xtqwdhxkhw/edit?usp=sharing"",""สุพรรณบุรี!J140"")"),0.0)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IFERROR(__xludf.DUMMYFUNCTION("IMPORTRANGE(""https://docs.google.com/spreadsheets/d/1SX6NBoVAgQJ6U1MVXOaj8PK2l7WJ3RER9xtqwdhxkhw/edit?usp=sharing"",""สุพรรณบุรี!I141"")"),0.0)</f>
        <v>0</v>
      </c>
      <c r="J216" s="238">
        <f>IFERROR(__xludf.DUMMYFUNCTION("IMPORTRANGE(""https://docs.google.com/spreadsheets/d/1SX6NBoVAgQJ6U1MVXOaj8PK2l7WJ3RER9xtqwdhxkhw/edit?usp=sharing"",""สุพรรณบุรี!J141"")"),0.0)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IFERROR(__xludf.DUMMYFUNCTION("IMPORTRANGE(""https://docs.google.com/spreadsheets/d/1SX6NBoVAgQJ6U1MVXOaj8PK2l7WJ3RER9xtqwdhxkhw/edit?usp=sharing"",""สุพรรณบุรี!J142"")"),0.0)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IFERROR(__xludf.DUMMYFUNCTION("IMPORTRANGE(""https://docs.google.com/spreadsheets/d/1SX6NBoVAgQJ6U1MVXOaj8PK2l7WJ3RER9xtqwdhxkhw/edit?usp=sharing"",""สุพรรณบุรี!J143"")"),0.0)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IFERROR(__xludf.DUMMYFUNCTION("IMPORTRANGE(""https://docs.google.com/spreadsheets/d/1SX6NBoVAgQJ6U1MVXOaj8PK2l7WJ3RER9xtqwdhxkhw/edit?usp=sharing"",""สุพรรณบุรี!I144"")"),15.0)</f>
        <v>15</v>
      </c>
      <c r="J219" s="301">
        <f>IFERROR(__xludf.DUMMYFUNCTION("IMPORTRANGE(""https://docs.google.com/spreadsheets/d/1SX6NBoVAgQJ6U1MVXOaj8PK2l7WJ3RER9xtqwdhxkhw/edit?usp=sharing"",""สุพรรณบุรี!J144"")"),15.0)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IFERROR(__xludf.DUMMYFUNCTION("IMPORTRANGE(""https://docs.google.com/spreadsheets/d/1Yj_ptqi66GCucihVvJfMjLAmec39IyEx_6qawtMGysU/edit?usp=sharing"",""สบก!BS78"")"),21125.0)</f>
        <v>21125</v>
      </c>
      <c r="N224" s="202">
        <f>IFERROR(__xludf.DUMMYFUNCTION("IMPORTRANGE(""https://docs.google.com/spreadsheets/d/1Yj_ptqi66GCucihVvJfMjLAmec39IyEx_6qawtMGysU/edit?usp=sharing"",""สบก!BT78"")"),21125.0)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IFERROR(__xludf.DUMMYFUNCTION("IMPORTRANGE(""https://docs.google.com/spreadsheets/d/1Yj_ptqi66GCucihVvJfMjLAmec39IyEx_6qawtMGysU/edit?usp=sharing"",""สบก!BO78"")"),0.0)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IFERROR(__xludf.DUMMYFUNCTION("IMPORTRANGE(""https://docs.google.com/spreadsheets/d/1Yj_ptqi66GCucihVvJfMjLAmec39IyEx_6qawtMGysU/edit?usp=sharing"",""สบก!BP78"")"),21125.0)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IFERROR(__xludf.DUMMYFUNCTION("IMPORTRANGE(""https://docs.google.com/spreadsheets/d/1Yj_ptqi66GCucihVvJfMjLAmec39IyEx_6qawtMGysU/edit?usp=sharing"",""สบก!BQ78"")"),0.0)</f>
        <v>0</v>
      </c>
      <c r="M228" s="125"/>
      <c r="N228" s="115">
        <f>IFERROR(__xludf.DUMMYFUNCTION("IMPORTRANGE(""https://docs.google.com/spreadsheets/d/1Yj_ptqi66GCucihVvJfMjLAmec39IyEx_6qawtMGysU/edit?usp=sharing"",""สบก!BU78"")"),0.0)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IFERROR(__xludf.DUMMYFUNCTION("IMPORTRANGE(""https://docs.google.com/spreadsheets/d/1SX6NBoVAgQJ6U1MVXOaj8PK2l7WJ3RER9xtqwdhxkhw/edit?usp=sharing"",""สุพรรณบุรี!I149"")"),15.0)</f>
        <v>15</v>
      </c>
      <c r="J229" s="301">
        <f>IFERROR(__xludf.DUMMYFUNCTION("IMPORTRANGE(""https://docs.google.com/spreadsheets/d/1SX6NBoVAgQJ6U1MVXOaj8PK2l7WJ3RER9xtqwdhxkhw/edit?usp=sharing"",""สุพรรณบุรี!J149"")"),15.0)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IFERROR(__xludf.DUMMYFUNCTION("IMPORTRANGE(""https://docs.google.com/spreadsheets/d/1SX6NBoVAgQJ6U1MVXOaj8PK2l7WJ3RER9xtqwdhxkhw/edit?usp=sharing"",""สุพรรณบุรี!J151"")"),0.0)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IFERROR(__xludf.DUMMYFUNCTION("IMPORTRANGE(""https://docs.google.com/spreadsheets/d/1SX6NBoVAgQJ6U1MVXOaj8PK2l7WJ3RER9xtqwdhxkhw/edit?usp=sharing"",""สุพรรณบุรี!J152"")"),1.0)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IFERROR(__xludf.DUMMYFUNCTION("IMPORTRANGE(""https://docs.google.com/spreadsheets/d/1SX6NBoVAgQJ6U1MVXOaj8PK2l7WJ3RER9xtqwdhxkhw/edit?usp=sharing"",""สุพรรณบุรี!J153"")"),1.0)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IFERROR(__xludf.DUMMYFUNCTION("IMPORTRANGE(""https://docs.google.com/spreadsheets/d/1SX6NBoVAgQJ6U1MVXOaj8PK2l7WJ3RER9xtqwdhxkhw/edit?usp=sharing"",""สุพรรณบุรี!J154"")"),1.0)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IFERROR(__xludf.DUMMYFUNCTION("IMPORTRANGE(""https://docs.google.com/spreadsheets/d/1SX6NBoVAgQJ6U1MVXOaj8PK2l7WJ3RER9xtqwdhxkhw/edit?usp=sharing"",""สุพรรณบุรี!I155"")"),15.0)</f>
        <v>15</v>
      </c>
      <c r="J235" s="223">
        <f>IFERROR(__xludf.DUMMYFUNCTION("IMPORTRANGE(""https://docs.google.com/spreadsheets/d/1SX6NBoVAgQJ6U1MVXOaj8PK2l7WJ3RER9xtqwdhxkhw/edit?usp=sharing"",""สุพรรณบุรี!J155"")"),15.0)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IFERROR(__xludf.DUMMYFUNCTION("IMPORTRANGE(""https://docs.google.com/spreadsheets/d/1SX6NBoVAgQJ6U1MVXOaj8PK2l7WJ3RER9xtqwdhxkhw/edit?usp=sharing"",""สุพรรณบุรี!J156"")"),0.0)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IFERROR(__xludf.DUMMYFUNCTION("IMPORTRANGE(""https://docs.google.com/spreadsheets/d/1SX6NBoVAgQJ6U1MVXOaj8PK2l7WJ3RER9xtqwdhxkhw/edit?usp=sharing"",""สุพรรณบุรี!J157"")"),0.0)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IFERROR(__xludf.DUMMYFUNCTION("IMPORTRANGE(""https://docs.google.com/spreadsheets/d/1SX6NBoVAgQJ6U1MVXOaj8PK2l7WJ3RER9xtqwdhxkhw/edit?usp=sharing"",""สุพรรณบุรี!I158"")"),0.0)</f>
        <v>0</v>
      </c>
      <c r="J238" s="301">
        <f>IFERROR(__xludf.DUMMYFUNCTION("IMPORTRANGE(""https://docs.google.com/spreadsheets/d/1SX6NBoVAgQJ6U1MVXOaj8PK2l7WJ3RER9xtqwdhxkhw/edit?usp=sharing"",""สุพรรณบุรี!J158"")"),0.0)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IFERROR(__xludf.DUMMYFUNCTION("IMPORTRANGE(""https://docs.google.com/spreadsheets/d/1SX6NBoVAgQJ6U1MVXOaj8PK2l7WJ3RER9xtqwdhxkhw/edit?usp=sharing"",""สุพรรณบุรี!J159"")"),"")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IFERROR(__xludf.DUMMYFUNCTION("IMPORTRANGE(""https://docs.google.com/spreadsheets/d/1SX6NBoVAgQJ6U1MVXOaj8PK2l7WJ3RER9xtqwdhxkhw/edit?usp=sharing"",""สุพรรณบุรี!J161"")"),0.0)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IFERROR(__xludf.DUMMYFUNCTION("IMPORTRANGE(""https://docs.google.com/spreadsheets/d/1SX6NBoVAgQJ6U1MVXOaj8PK2l7WJ3RER9xtqwdhxkhw/edit?usp=sharing"",""สุพรรณบุรี!J162"")"),0.0)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IFERROR(__xludf.DUMMYFUNCTION("IMPORTRANGE(""https://docs.google.com/spreadsheets/d/1SX6NBoVAgQJ6U1MVXOaj8PK2l7WJ3RER9xtqwdhxkhw/edit?usp=sharing"",""สุพรรณบุรี!J163"")"),0.0)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IFERROR(__xludf.DUMMYFUNCTION("IMPORTRANGE(""https://docs.google.com/spreadsheets/d/1SX6NBoVAgQJ6U1MVXOaj8PK2l7WJ3RER9xtqwdhxkhw/edit?usp=sharing"",""สุพรรณบุรี!I164"")"),0.0)</f>
        <v>0</v>
      </c>
      <c r="J244" s="222">
        <f>IFERROR(__xludf.DUMMYFUNCTION("IMPORTRANGE(""https://docs.google.com/spreadsheets/d/1SX6NBoVAgQJ6U1MVXOaj8PK2l7WJ3RER9xtqwdhxkhw/edit?usp=sharing"",""สุพรรณบุรี!J164"")"),0.0)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IFERROR(__xludf.DUMMYFUNCTION("IMPORTRANGE(""https://docs.google.com/spreadsheets/d/1SX6NBoVAgQJ6U1MVXOaj8PK2l7WJ3RER9xtqwdhxkhw/edit?usp=sharing"",""สุพรรณบุรี!J165"")"),0.0)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IFERROR(__xludf.DUMMYFUNCTION("IMPORTRANGE(""https://docs.google.com/spreadsheets/d/1SX6NBoVAgQJ6U1MVXOaj8PK2l7WJ3RER9xtqwdhxkhw/edit?usp=sharing"",""สุพรรณบุรี!J166"")"),0.0)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IFERROR(__xludf.DUMMYFUNCTION("IMPORTRANGE(""https://docs.google.com/spreadsheets/d/1SX6NBoVAgQJ6U1MVXOaj8PK2l7WJ3RER9xtqwdhxkhw/edit?usp=sharing"",""สุพรรณบุรี!I169"")"),20.0)</f>
        <v>20</v>
      </c>
      <c r="J249" s="349">
        <f>IFERROR(__xludf.DUMMYFUNCTION("IMPORTRANGE(""https://docs.google.com/spreadsheets/d/1SX6NBoVAgQJ6U1MVXOaj8PK2l7WJ3RER9xtqwdhxkhw/edit?usp=sharing"",""สุพรรณบุรี!J169"")"),0.0)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600</v>
      </c>
      <c r="O250" s="182">
        <f t="shared" ref="O250:O252" si="80">IF(L250&gt;0,N250*100/L250,0)</f>
        <v>0.8403361345</v>
      </c>
      <c r="P250" s="182">
        <f t="shared" ref="P250:P252" si="81">IF(M250&gt;0,N250*100/M250,0)</f>
        <v>1.621621622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600</v>
      </c>
      <c r="O252" s="187">
        <f t="shared" si="80"/>
        <v>0.8403361345</v>
      </c>
      <c r="P252" s="187">
        <f t="shared" si="81"/>
        <v>1.621621622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1">
        <f>IFERROR(__xludf.DUMMYFUNCTION("IMPORTRANGE(""https://docs.google.com/spreadsheets/d/1Yj_ptqi66GCucihVvJfMjLAmec39IyEx_6qawtMGysU/edit?usp=sharing"",""สบก!CB78"")"),37000.0)</f>
        <v>37000</v>
      </c>
      <c r="N254" s="202">
        <f>IFERROR(__xludf.DUMMYFUNCTION("IMPORTRANGE(""https://docs.google.com/spreadsheets/d/1Yj_ptqi66GCucihVvJfMjLAmec39IyEx_6qawtMGysU/edit?usp=sharing"",""สบก!CC78"")"),600.0)</f>
        <v>600</v>
      </c>
      <c r="O254" s="203">
        <f>IF(L254&gt;0,N254*100/L254,0)</f>
        <v>0.8403361345</v>
      </c>
      <c r="P254" s="203">
        <f>IF(M254&gt;0,N254*100/M254,0)</f>
        <v>1.621621622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IFERROR(__xludf.DUMMYFUNCTION("IMPORTRANGE(""https://docs.google.com/spreadsheets/d/1Yj_ptqi66GCucihVvJfMjLAmec39IyEx_6qawtMGysU/edit?usp=sharing"",""สบก!BX78"")"),0.0)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IFERROR(__xludf.DUMMYFUNCTION("IMPORTRANGE(""https://docs.google.com/spreadsheets/d/1Yj_ptqi66GCucihVvJfMjLAmec39IyEx_6qawtMGysU/edit?usp=sharing"",""สบก!BY78"")"),71400.0)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IFERROR(__xludf.DUMMYFUNCTION("IMPORTRANGE(""https://docs.google.com/spreadsheets/d/1Yj_ptqi66GCucihVvJfMjLAmec39IyEx_6qawtMGysU/edit?usp=sharing"",""สบก!BZ78"")"),0.0)</f>
        <v>0</v>
      </c>
      <c r="M258" s="125"/>
      <c r="N258" s="115">
        <f>IFERROR(__xludf.DUMMYFUNCTION("IMPORTRANGE(""https://docs.google.com/spreadsheets/d/1Yj_ptqi66GCucihVvJfMjLAmec39IyEx_6qawtMGysU/edit?usp=sharing"",""สบก!CD78"")"),0.0)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IFERROR(__xludf.DUMMYFUNCTION("IMPORTRANGE(""https://docs.google.com/spreadsheets/d/1SX6NBoVAgQJ6U1MVXOaj8PK2l7WJ3RER9xtqwdhxkhw/edit?usp=sharing"",""สุพรรณบุรี!J175"")"),0.0)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IFERROR(__xludf.DUMMYFUNCTION("IMPORTRANGE(""https://docs.google.com/spreadsheets/d/1SX6NBoVAgQJ6U1MVXOaj8PK2l7WJ3RER9xtqwdhxkhw/edit?usp=sharing"",""สุพรรณบุรี!J176"")"),1.0)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IFERROR(__xludf.DUMMYFUNCTION("IMPORTRANGE(""https://docs.google.com/spreadsheets/d/1SX6NBoVAgQJ6U1MVXOaj8PK2l7WJ3RER9xtqwdhxkhw/edit?usp=sharing"",""สุพรรณบุรี!J177"")"),1.0)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IFERROR(__xludf.DUMMYFUNCTION("IMPORTRANGE(""https://docs.google.com/spreadsheets/d/1SX6NBoVAgQJ6U1MVXOaj8PK2l7WJ3RER9xtqwdhxkhw/edit?usp=sharing"",""สุพรรณบุรี!J178"")"),1.0)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IFERROR(__xludf.DUMMYFUNCTION("IMPORTRANGE(""https://docs.google.com/spreadsheets/d/1SX6NBoVAgQJ6U1MVXOaj8PK2l7WJ3RER9xtqwdhxkhw/edit?usp=sharing"",""สุพรรณบุรี!I179"")"),1.0)</f>
        <v>1</v>
      </c>
      <c r="J264" s="223">
        <f>IFERROR(__xludf.DUMMYFUNCTION("IMPORTRANGE(""https://docs.google.com/spreadsheets/d/1SX6NBoVAgQJ6U1MVXOaj8PK2l7WJ3RER9xtqwdhxkhw/edit?usp=sharing"",""สุพรรณบุรี!J179"")"),0.0)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IFERROR(__xludf.DUMMYFUNCTION("IMPORTRANGE(""https://docs.google.com/spreadsheets/d/1SX6NBoVAgQJ6U1MVXOaj8PK2l7WJ3RER9xtqwdhxkhw/edit?usp=sharing"",""สุพรรณบุรี!I180"")"),20.0)</f>
        <v>20</v>
      </c>
      <c r="J265" s="223">
        <f>IFERROR(__xludf.DUMMYFUNCTION("IMPORTRANGE(""https://docs.google.com/spreadsheets/d/1SX6NBoVAgQJ6U1MVXOaj8PK2l7WJ3RER9xtqwdhxkhw/edit?usp=sharing"",""สุพรรณบุรี!J180"")"),0.0)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IFERROR(__xludf.DUMMYFUNCTION("IMPORTRANGE(""https://docs.google.com/spreadsheets/d/1SX6NBoVAgQJ6U1MVXOaj8PK2l7WJ3RER9xtqwdhxkhw/edit?usp=sharing"",""สุพรรณบุรี!I181"")"),20.0)</f>
        <v>20</v>
      </c>
      <c r="J266" s="223">
        <f>IFERROR(__xludf.DUMMYFUNCTION("IMPORTRANGE(""https://docs.google.com/spreadsheets/d/1SX6NBoVAgQJ6U1MVXOaj8PK2l7WJ3RER9xtqwdhxkhw/edit?usp=sharing"",""สุพรรณบุรี!J181"")"),0.0)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IFERROR(__xludf.DUMMYFUNCTION("IMPORTRANGE(""https://docs.google.com/spreadsheets/d/1SX6NBoVAgQJ6U1MVXOaj8PK2l7WJ3RER9xtqwdhxkhw/edit?usp=sharing"",""สุพรรณบุรี!I182"")"),1.0)</f>
        <v>1</v>
      </c>
      <c r="J267" s="223">
        <f>IFERROR(__xludf.DUMMYFUNCTION("IMPORTRANGE(""https://docs.google.com/spreadsheets/d/1SX6NBoVAgQJ6U1MVXOaj8PK2l7WJ3RER9xtqwdhxkhw/edit?usp=sharing"",""สุพรรณบุรี!J182"")"),0.0)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IFERROR(__xludf.DUMMYFUNCTION("IMPORTRANGE(""https://docs.google.com/spreadsheets/d/1SX6NBoVAgQJ6U1MVXOaj8PK2l7WJ3RER9xtqwdhxkhw/edit?usp=sharing"",""สุพรรณบุรี!J183"")"),0.0)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IFERROR(__xludf.DUMMYFUNCTION("IMPORTRANGE(""https://docs.google.com/spreadsheets/d/1SX6NBoVAgQJ6U1MVXOaj8PK2l7WJ3RER9xtqwdhxkhw/edit?usp=sharing"",""สุพรรณบุรี!J184"")"),0.0)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IFERROR(__xludf.DUMMYFUNCTION("IMPORTRANGE(""https://docs.google.com/spreadsheets/d/1SX6NBoVAgQJ6U1MVXOaj8PK2l7WJ3RER9xtqwdhxkhw/edit?usp=sharing"",""สุพรรณบุรี!I185"")"),15.0)</f>
        <v>15</v>
      </c>
      <c r="J270" s="349">
        <f>IFERROR(__xludf.DUMMYFUNCTION("IMPORTRANGE(""https://docs.google.com/spreadsheets/d/1SX6NBoVAgQJ6U1MVXOaj8PK2l7WJ3RER9xtqwdhxkhw/edit?usp=sharing"",""สุพรรณบุรี!J185"")"),0.0)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105700</v>
      </c>
      <c r="M271" s="183">
        <f t="shared" si="84"/>
        <v>80000</v>
      </c>
      <c r="N271" s="183">
        <f t="shared" si="84"/>
        <v>800</v>
      </c>
      <c r="O271" s="182">
        <f t="shared" ref="O271:O273" si="86">IF(L271&gt;0,N271*100/L271,0)</f>
        <v>0.756859035</v>
      </c>
      <c r="P271" s="182">
        <f t="shared" ref="P271:P273" si="87">IF(M271&gt;0,N271*100/M271,0)</f>
        <v>1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105700</v>
      </c>
      <c r="M273" s="188">
        <f t="shared" si="88"/>
        <v>80000</v>
      </c>
      <c r="N273" s="188">
        <f t="shared" si="88"/>
        <v>800</v>
      </c>
      <c r="O273" s="187">
        <f t="shared" si="86"/>
        <v>0.756859035</v>
      </c>
      <c r="P273" s="187">
        <f t="shared" si="87"/>
        <v>1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105700</v>
      </c>
      <c r="M275" s="201">
        <f>IFERROR(__xludf.DUMMYFUNCTION("IMPORTRANGE(""https://docs.google.com/spreadsheets/d/1Yj_ptqi66GCucihVvJfMjLAmec39IyEx_6qawtMGysU/edit?usp=sharing"",""สบก!CK78"")"),80000.0)</f>
        <v>80000</v>
      </c>
      <c r="N275" s="202">
        <f>IFERROR(__xludf.DUMMYFUNCTION("IMPORTRANGE(""https://docs.google.com/spreadsheets/d/1Yj_ptqi66GCucihVvJfMjLAmec39IyEx_6qawtMGysU/edit?usp=sharing"",""สบก!CL78"")"),800.0)</f>
        <v>800</v>
      </c>
      <c r="O275" s="203">
        <f>IF(L275&gt;0,N275*100/L275,0)</f>
        <v>0.756859035</v>
      </c>
      <c r="P275" s="203">
        <f>IF(M275&gt;0,N275*100/M275,0)</f>
        <v>1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IFERROR(__xludf.DUMMYFUNCTION("IMPORTRANGE(""https://docs.google.com/spreadsheets/d/1Yj_ptqi66GCucihVvJfMjLAmec39IyEx_6qawtMGysU/edit?usp=sharing"",""สบก!CG78"")"),0.0)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IFERROR(__xludf.DUMMYFUNCTION("IMPORTRANGE(""https://docs.google.com/spreadsheets/d/1Yj_ptqi66GCucihVvJfMjLAmec39IyEx_6qawtMGysU/edit?usp=sharing"",""สบก!CH78"")"),105700.0)</f>
        <v>105700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IFERROR(__xludf.DUMMYFUNCTION("IMPORTRANGE(""https://docs.google.com/spreadsheets/d/1Yj_ptqi66GCucihVvJfMjLAmec39IyEx_6qawtMGysU/edit?usp=sharing"",""สบก!CI78"")"),0.0)</f>
        <v>0</v>
      </c>
      <c r="M279" s="125"/>
      <c r="N279" s="115">
        <f>IFERROR(__xludf.DUMMYFUNCTION("IMPORTRANGE(""https://docs.google.com/spreadsheets/d/1Yj_ptqi66GCucihVvJfMjLAmec39IyEx_6qawtMGysU/edit?usp=sharing"",""สบก!CM78"")"),0.0)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IFERROR(__xludf.DUMMYFUNCTION("IMPORTRANGE(""https://docs.google.com/spreadsheets/d/1SX6NBoVAgQJ6U1MVXOaj8PK2l7WJ3RER9xtqwdhxkhw/edit?usp=sharing"",""สุพรรณบุรี!J191"")"),0.0)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IFERROR(__xludf.DUMMYFUNCTION("IMPORTRANGE(""https://docs.google.com/spreadsheets/d/1SX6NBoVAgQJ6U1MVXOaj8PK2l7WJ3RER9xtqwdhxkhw/edit?usp=sharing"",""สุพรรณบุรี!J192"")"),0.0)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IFERROR(__xludf.DUMMYFUNCTION("IMPORTRANGE(""https://docs.google.com/spreadsheets/d/1SX6NBoVAgQJ6U1MVXOaj8PK2l7WJ3RER9xtqwdhxkhw/edit?usp=sharing"",""สุพรรณบุรี!J193"")"),1.0)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IFERROR(__xludf.DUMMYFUNCTION("IMPORTRANGE(""https://docs.google.com/spreadsheets/d/1SX6NBoVAgQJ6U1MVXOaj8PK2l7WJ3RER9xtqwdhxkhw/edit?usp=sharing"",""สุพรรณบุรี!J194"")"),1.0)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IFERROR(__xludf.DUMMYFUNCTION("IMPORTRANGE(""https://docs.google.com/spreadsheets/d/1SX6NBoVAgQJ6U1MVXOaj8PK2l7WJ3RER9xtqwdhxkhw/edit?usp=sharing"",""สุพรรณบุรี!I195"")"),15.0)</f>
        <v>15</v>
      </c>
      <c r="J285" s="223">
        <f>IFERROR(__xludf.DUMMYFUNCTION("IMPORTRANGE(""https://docs.google.com/spreadsheets/d/1SX6NBoVAgQJ6U1MVXOaj8PK2l7WJ3RER9xtqwdhxkhw/edit?usp=sharing"",""สุพรรณบุรี!J195"")"),0.0)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IFERROR(__xludf.DUMMYFUNCTION("IMPORTRANGE(""https://docs.google.com/spreadsheets/d/1SX6NBoVAgQJ6U1MVXOaj8PK2l7WJ3RER9xtqwdhxkhw/edit?usp=sharing"",""สุพรรณบุรี!J196"")"),0.0)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IFERROR(__xludf.DUMMYFUNCTION("IMPORTRANGE(""https://docs.google.com/spreadsheets/d/1SX6NBoVAgQJ6U1MVXOaj8PK2l7WJ3RER9xtqwdhxkhw/edit?usp=sharing"",""สุพรรณบุรี!J197"")"),0.0)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IFERROR(__xludf.DUMMYFUNCTION("IMPORTRANGE(""https://docs.google.com/spreadsheets/d/1SX6NBoVAgQJ6U1MVXOaj8PK2l7WJ3RER9xtqwdhxkhw/edit?usp=sharing"",""สุพรรณบุรี!I199"")"),0.0)</f>
        <v>0</v>
      </c>
      <c r="J289" s="349">
        <f>IFERROR(__xludf.DUMMYFUNCTION("IMPORTRANGE(""https://docs.google.com/spreadsheets/d/1SX6NBoVAgQJ6U1MVXOaj8PK2l7WJ3RER9xtqwdhxkhw/edit?usp=sharing"",""สุพรรณบุรี!J199"")"),0.0)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IFERROR(__xludf.DUMMYFUNCTION("IMPORTRANGE(""https://docs.google.com/spreadsheets/d/1Yj_ptqi66GCucihVvJfMjLAmec39IyEx_6qawtMGysU/edit?usp=sharing"",""สบก!CT78"")"),0.0)</f>
        <v>0</v>
      </c>
      <c r="N294" s="202">
        <f>IFERROR(__xludf.DUMMYFUNCTION("IMPORTRANGE(""https://docs.google.com/spreadsheets/d/1Yj_ptqi66GCucihVvJfMjLAmec39IyEx_6qawtMGysU/edit?usp=sharing"",""สบก!CU78"")"),0.0)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IFERROR(__xludf.DUMMYFUNCTION("IMPORTRANGE(""https://docs.google.com/spreadsheets/d/1Yj_ptqi66GCucihVvJfMjLAmec39IyEx_6qawtMGysU/edit?usp=sharing"",""สบก!CP78"")"),0.0)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IFERROR(__xludf.DUMMYFUNCTION("IMPORTRANGE(""https://docs.google.com/spreadsheets/d/1Yj_ptqi66GCucihVvJfMjLAmec39IyEx_6qawtMGysU/edit?usp=sharing"",""สบก!CQ78"")"),0.0)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IFERROR(__xludf.DUMMYFUNCTION("IMPORTRANGE(""https://docs.google.com/spreadsheets/d/1Yj_ptqi66GCucihVvJfMjLAmec39IyEx_6qawtMGysU/edit?usp=sharing"",""สบก!CR78"")"),0.0)</f>
        <v>0</v>
      </c>
      <c r="M298" s="125"/>
      <c r="N298" s="115">
        <f>IFERROR(__xludf.DUMMYFUNCTION("IMPORTRANGE(""https://docs.google.com/spreadsheets/d/1Yj_ptqi66GCucihVvJfMjLAmec39IyEx_6qawtMGysU/edit?usp=sharing"",""สบก!CV78"")"),0.0)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IFERROR(__xludf.DUMMYFUNCTION("IMPORTRANGE(""https://docs.google.com/spreadsheets/d/1SX6NBoVAgQJ6U1MVXOaj8PK2l7WJ3RER9xtqwdhxkhw/edit?usp=sharing"",""สุพรรณบุรี!J205"")"),0.0)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IFERROR(__xludf.DUMMYFUNCTION("IMPORTRANGE(""https://docs.google.com/spreadsheets/d/1SX6NBoVAgQJ6U1MVXOaj8PK2l7WJ3RER9xtqwdhxkhw/edit?usp=sharing"",""สุพรรณบุรี!J206"")"),0.0)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IFERROR(__xludf.DUMMYFUNCTION("IMPORTRANGE(""https://docs.google.com/spreadsheets/d/1SX6NBoVAgQJ6U1MVXOaj8PK2l7WJ3RER9xtqwdhxkhw/edit?usp=sharing"",""สุพรรณบุรี!J207"")"),0.0)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IFERROR(__xludf.DUMMYFUNCTION("IMPORTRANGE(""https://docs.google.com/spreadsheets/d/1SX6NBoVAgQJ6U1MVXOaj8PK2l7WJ3RER9xtqwdhxkhw/edit?usp=sharing"",""สุพรรณบุรี!J208"")"),0.0)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IFERROR(__xludf.DUMMYFUNCTION("IMPORTRANGE(""https://docs.google.com/spreadsheets/d/1SX6NBoVAgQJ6U1MVXOaj8PK2l7WJ3RER9xtqwdhxkhw/edit?usp=sharing"",""สุพรรณบุรี!I209"")"),0.0)</f>
        <v>0</v>
      </c>
      <c r="J304" s="238">
        <f>IFERROR(__xludf.DUMMYFUNCTION("IMPORTRANGE(""https://docs.google.com/spreadsheets/d/1SX6NBoVAgQJ6U1MVXOaj8PK2l7WJ3RER9xtqwdhxkhw/edit?usp=sharing"",""สุพรรณบุรี!J209"")"),0.0)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IFERROR(__xludf.DUMMYFUNCTION("IMPORTRANGE(""https://docs.google.com/spreadsheets/d/1SX6NBoVAgQJ6U1MVXOaj8PK2l7WJ3RER9xtqwdhxkhw/edit?usp=sharing"",""สุพรรณบุรี!I211"")"),0.0)</f>
        <v>0</v>
      </c>
      <c r="J306" s="238">
        <f>IFERROR(__xludf.DUMMYFUNCTION("IMPORTRANGE(""https://docs.google.com/spreadsheets/d/1SX6NBoVAgQJ6U1MVXOaj8PK2l7WJ3RER9xtqwdhxkhw/edit?usp=sharing"",""สุพรรณบุรี!J211"")"),0.0)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IFERROR(__xludf.DUMMYFUNCTION("IMPORTRANGE(""https://docs.google.com/spreadsheets/d/1SX6NBoVAgQJ6U1MVXOaj8PK2l7WJ3RER9xtqwdhxkhw/edit?usp=sharing"",""สุพรรณบุรี!J212"")"),0.0)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IFERROR(__xludf.DUMMYFUNCTION("IMPORTRANGE(""https://docs.google.com/spreadsheets/d/1SX6NBoVAgQJ6U1MVXOaj8PK2l7WJ3RER9xtqwdhxkhw/edit?usp=sharing"",""สุพรรณบุรี!J213"")"),0.0)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IFERROR(__xludf.DUMMYFUNCTION("IMPORTRANGE(""https://docs.google.com/spreadsheets/d/1SX6NBoVAgQJ6U1MVXOaj8PK2l7WJ3RER9xtqwdhxkhw/edit?usp=sharing"",""สุพรรณบุรี!I214"")"),0.0)</f>
        <v>0</v>
      </c>
      <c r="J309" s="366">
        <f>IFERROR(__xludf.DUMMYFUNCTION("IMPORTRANGE(""https://docs.google.com/spreadsheets/d/1SX6NBoVAgQJ6U1MVXOaj8PK2l7WJ3RER9xtqwdhxkhw/edit?usp=sharing"",""สุพรรณบุรี!J214"")"),0.0)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IFERROR(__xludf.DUMMYFUNCTION("IMPORTRANGE(""https://docs.google.com/spreadsheets/d/1Yj_ptqi66GCucihVvJfMjLAmec39IyEx_6qawtMGysU/edit?usp=sharing"",""สบก!DC78"")"),0.0)</f>
        <v>0</v>
      </c>
      <c r="N314" s="202">
        <f>IFERROR(__xludf.DUMMYFUNCTION("IMPORTRANGE(""https://docs.google.com/spreadsheets/d/1Yj_ptqi66GCucihVvJfMjLAmec39IyEx_6qawtMGysU/edit?usp=sharing"",""สบก!DD78"")"),0.0)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IFERROR(__xludf.DUMMYFUNCTION("IMPORTRANGE(""https://docs.google.com/spreadsheets/d/1Yj_ptqi66GCucihVvJfMjLAmec39IyEx_6qawtMGysU/edit?usp=sharing"",""สบก!CY78"")"),0.0)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IFERROR(__xludf.DUMMYFUNCTION("IMPORTRANGE(""https://docs.google.com/spreadsheets/d/1Yj_ptqi66GCucihVvJfMjLAmec39IyEx_6qawtMGysU/edit?usp=sharing"",""สบก!CZ78"")"),0.0)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IFERROR(__xludf.DUMMYFUNCTION("IMPORTRANGE(""https://docs.google.com/spreadsheets/d/1Yj_ptqi66GCucihVvJfMjLAmec39IyEx_6qawtMGysU/edit?usp=sharing"",""สบก!DA78"")"),0.0)</f>
        <v>0</v>
      </c>
      <c r="M318" s="125"/>
      <c r="N318" s="115">
        <f>IFERROR(__xludf.DUMMYFUNCTION("IMPORTRANGE(""https://docs.google.com/spreadsheets/d/1Yj_ptqi66GCucihVvJfMjLAmec39IyEx_6qawtMGysU/edit?usp=sharing"",""สบก!DE78"")"),0.0)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IFERROR(__xludf.DUMMYFUNCTION("IMPORTRANGE(""https://docs.google.com/spreadsheets/d/1SX6NBoVAgQJ6U1MVXOaj8PK2l7WJ3RER9xtqwdhxkhw/edit?usp=sharing"",""สุพรรณบุรี!J220"")"),0.0)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IFERROR(__xludf.DUMMYFUNCTION("IMPORTRANGE(""https://docs.google.com/spreadsheets/d/1SX6NBoVAgQJ6U1MVXOaj8PK2l7WJ3RER9xtqwdhxkhw/edit?usp=sharing"",""สุพรรณบุรี!J221"")"),0.0)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IFERROR(__xludf.DUMMYFUNCTION("IMPORTRANGE(""https://docs.google.com/spreadsheets/d/1SX6NBoVAgQJ6U1MVXOaj8PK2l7WJ3RER9xtqwdhxkhw/edit?usp=sharing"",""สุพรรณบุรี!J222"")"),0.0)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IFERROR(__xludf.DUMMYFUNCTION("IMPORTRANGE(""https://docs.google.com/spreadsheets/d/1SX6NBoVAgQJ6U1MVXOaj8PK2l7WJ3RER9xtqwdhxkhw/edit?usp=sharing"",""สุพรรณบุรี!J223"")"),0.0)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IFERROR(__xludf.DUMMYFUNCTION("IMPORTRANGE(""https://docs.google.com/spreadsheets/d/1SX6NBoVAgQJ6U1MVXOaj8PK2l7WJ3RER9xtqwdhxkhw/edit?usp=sharing"",""สุพรรณบุรี!I224"")"),0.0)</f>
        <v>0</v>
      </c>
      <c r="J324" s="238">
        <f>IFERROR(__xludf.DUMMYFUNCTION("IMPORTRANGE(""https://docs.google.com/spreadsheets/d/1SX6NBoVAgQJ6U1MVXOaj8PK2l7WJ3RER9xtqwdhxkhw/edit?usp=sharing"",""สุพรรณบุรี!J224"")"),0.0)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IFERROR(__xludf.DUMMYFUNCTION("IMPORTRANGE(""https://docs.google.com/spreadsheets/d/1SX6NBoVAgQJ6U1MVXOaj8PK2l7WJ3RER9xtqwdhxkhw/edit?usp=sharing"",""สุพรรณบุรี!J225"")"),0.0)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IFERROR(__xludf.DUMMYFUNCTION("IMPORTRANGE(""https://docs.google.com/spreadsheets/d/1SX6NBoVAgQJ6U1MVXOaj8PK2l7WJ3RER9xtqwdhxkhw/edit?usp=sharing"",""สุพรรณบุรี!J226"")"),0.0)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IFERROR(__xludf.DUMMYFUNCTION("IMPORTRANGE(""https://docs.google.com/spreadsheets/d/1SX6NBoVAgQJ6U1MVXOaj8PK2l7WJ3RER9xtqwdhxkhw/edit?usp=sharing"",""สุพรรณบุรี!I228"")"),120.0)</f>
        <v>120</v>
      </c>
      <c r="J328" s="372">
        <f>IFERROR(__xludf.DUMMYFUNCTION("IMPORTRANGE(""https://docs.google.com/spreadsheets/d/1SX6NBoVAgQJ6U1MVXOaj8PK2l7WJ3RER9xtqwdhxkhw/edit?usp=sharing"",""สุพรรณบุรี!J228"")"),116.0)</f>
        <v>116</v>
      </c>
      <c r="K328" s="350">
        <f>IF(I328&gt;0,J328*100/I328,0)</f>
        <v>96.66666667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912740</v>
      </c>
      <c r="M329" s="183">
        <f t="shared" si="99"/>
        <v>464980</v>
      </c>
      <c r="N329" s="183">
        <f t="shared" si="99"/>
        <v>287944</v>
      </c>
      <c r="O329" s="182">
        <f t="shared" ref="O329:O331" si="101">IF(L329&gt;0,N329*100/L329,0)</f>
        <v>31.5472095</v>
      </c>
      <c r="P329" s="182">
        <f t="shared" ref="P329:P331" si="102">IF(M329&gt;0,N329*100/M329,0)</f>
        <v>61.92610435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912740</v>
      </c>
      <c r="M331" s="188">
        <f t="shared" si="103"/>
        <v>464980</v>
      </c>
      <c r="N331" s="188">
        <f t="shared" si="103"/>
        <v>287944</v>
      </c>
      <c r="O331" s="187">
        <f t="shared" si="101"/>
        <v>31.5472095</v>
      </c>
      <c r="P331" s="187">
        <f t="shared" si="102"/>
        <v>61.92610435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902740</v>
      </c>
      <c r="M333" s="201">
        <f>IFERROR(__xludf.DUMMYFUNCTION("IMPORTRANGE(""https://docs.google.com/spreadsheets/d/1Yj_ptqi66GCucihVvJfMjLAmec39IyEx_6qawtMGysU/edit?usp=sharing"",""สบก!DL78"")"),464980.0)</f>
        <v>464980</v>
      </c>
      <c r="N333" s="202">
        <f>IFERROR(__xludf.DUMMYFUNCTION("IMPORTRANGE(""https://docs.google.com/spreadsheets/d/1Yj_ptqi66GCucihVvJfMjLAmec39IyEx_6qawtMGysU/edit?usp=sharing"",""สบก!DM78"")"),277944.0)</f>
        <v>277944</v>
      </c>
      <c r="O333" s="203">
        <f>IF(L333&gt;0,N333*100/L333,0)</f>
        <v>30.78893148</v>
      </c>
      <c r="P333" s="203">
        <f>IF(M333&gt;0,N333*100/M333,0)</f>
        <v>59.77547421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IFERROR(__xludf.DUMMYFUNCTION("IMPORTRANGE(""https://docs.google.com/spreadsheets/d/1Yj_ptqi66GCucihVvJfMjLAmec39IyEx_6qawtMGysU/edit?usp=sharing"",""สบก!DH78"")"),583200.0)</f>
        <v>583200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IFERROR(__xludf.DUMMYFUNCTION("IMPORTRANGE(""https://docs.google.com/spreadsheets/d/1Yj_ptqi66GCucihVvJfMjLAmec39IyEx_6qawtMGysU/edit?usp=sharing"",""สบก!DI78"")"),319540.0)</f>
        <v>319540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IFERROR(__xludf.DUMMYFUNCTION("IMPORTRANGE(""https://docs.google.com/spreadsheets/d/1Yj_ptqi66GCucihVvJfMjLAmec39IyEx_6qawtMGysU/edit?usp=sharing"",""สบก!DJ78"")"),10000.0)</f>
        <v>10000</v>
      </c>
      <c r="M337" s="125"/>
      <c r="N337" s="115">
        <f>IFERROR(__xludf.DUMMYFUNCTION("IMPORTRANGE(""https://docs.google.com/spreadsheets/d/1Yj_ptqi66GCucihVvJfMjLAmec39IyEx_6qawtMGysU/edit?usp=sharing"",""สบก!DN78"")"),10000.0)</f>
        <v>10000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IFERROR(__xludf.DUMMYFUNCTION("IMPORTRANGE(""https://docs.google.com/spreadsheets/d/1SX6NBoVAgQJ6U1MVXOaj8PK2l7WJ3RER9xtqwdhxkhw/edit?usp=sharing"",""สุพรรณบุรี!I234"")"),0.0)</f>
        <v>0</v>
      </c>
      <c r="J339" s="222">
        <f>IFERROR(__xludf.DUMMYFUNCTION("IMPORTRANGE(""https://docs.google.com/spreadsheets/d/1SX6NBoVAgQJ6U1MVXOaj8PK2l7WJ3RER9xtqwdhxkhw/edit?usp=sharing"",""สุพรรณบุรี!J234"")"),51.0)</f>
        <v>51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IFERROR(__xludf.DUMMYFUNCTION("IMPORTRANGE(""https://docs.google.com/spreadsheets/d/1SX6NBoVAgQJ6U1MVXOaj8PK2l7WJ3RER9xtqwdhxkhw/edit?usp=sharing"",""สุพรรณบุรี!I235"")"),800.0)</f>
        <v>800</v>
      </c>
      <c r="J340" s="222">
        <f>IFERROR(__xludf.DUMMYFUNCTION("IMPORTRANGE(""https://docs.google.com/spreadsheets/d/1SX6NBoVAgQJ6U1MVXOaj8PK2l7WJ3RER9xtqwdhxkhw/edit?usp=sharing"",""สุพรรณบุรี!J235"")"),346.86)</f>
        <v>346.86</v>
      </c>
      <c r="K340" s="375">
        <f t="shared" si="104"/>
        <v>43.3575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IFERROR(__xludf.DUMMYFUNCTION("IMPORTRANGE(""https://docs.google.com/spreadsheets/d/1SX6NBoVAgQJ6U1MVXOaj8PK2l7WJ3RER9xtqwdhxkhw/edit?usp=sharing"",""สุพรรณบุรี!I236"")"),120.0)</f>
        <v>120</v>
      </c>
      <c r="J341" s="222">
        <f>IFERROR(__xludf.DUMMYFUNCTION("IMPORTRANGE(""https://docs.google.com/spreadsheets/d/1SX6NBoVAgQJ6U1MVXOaj8PK2l7WJ3RER9xtqwdhxkhw/edit?usp=sharing"",""สุพรรณบุรี!J236"")"),114.0)</f>
        <v>114</v>
      </c>
      <c r="K341" s="375">
        <f t="shared" si="104"/>
        <v>95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IFERROR(__xludf.DUMMYFUNCTION("IMPORTRANGE(""https://docs.google.com/spreadsheets/d/1SX6NBoVAgQJ6U1MVXOaj8PK2l7WJ3RER9xtqwdhxkhw/edit?usp=sharing"",""สุพรรณบุรี!I237"")"),0.0)</f>
        <v>0</v>
      </c>
      <c r="J342" s="222">
        <f>IFERROR(__xludf.DUMMYFUNCTION("IMPORTRANGE(""https://docs.google.com/spreadsheets/d/1SX6NBoVAgQJ6U1MVXOaj8PK2l7WJ3RER9xtqwdhxkhw/edit?usp=sharing"",""สุพรรณบุรี!J237"")"),1533.12)</f>
        <v>1533.12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IFERROR(__xludf.DUMMYFUNCTION("IMPORTRANGE(""https://docs.google.com/spreadsheets/d/1SX6NBoVAgQJ6U1MVXOaj8PK2l7WJ3RER9xtqwdhxkhw/edit?usp=sharing"",""สุพรรณบุรี!I238"")"),120.0)</f>
        <v>120</v>
      </c>
      <c r="J343" s="222">
        <f>IFERROR(__xludf.DUMMYFUNCTION("IMPORTRANGE(""https://docs.google.com/spreadsheets/d/1SX6NBoVAgQJ6U1MVXOaj8PK2l7WJ3RER9xtqwdhxkhw/edit?usp=sharing"",""สุพรรณบุรี!J238"")"),0.0)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IFERROR(__xludf.DUMMYFUNCTION("IMPORTRANGE(""https://docs.google.com/spreadsheets/d/1SX6NBoVAgQJ6U1MVXOaj8PK2l7WJ3RER9xtqwdhxkhw/edit?usp=sharing"",""สุพรรณบุรี!I239"")"),0.0)</f>
        <v>0</v>
      </c>
      <c r="J344" s="222">
        <f>IFERROR(__xludf.DUMMYFUNCTION("IMPORTRANGE(""https://docs.google.com/spreadsheets/d/1SX6NBoVAgQJ6U1MVXOaj8PK2l7WJ3RER9xtqwdhxkhw/edit?usp=sharing"",""สุพรรณบุรี!J239"")"),0.0)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IFERROR(__xludf.DUMMYFUNCTION("IMPORTRANGE(""https://docs.google.com/spreadsheets/d/1SX6NBoVAgQJ6U1MVXOaj8PK2l7WJ3RER9xtqwdhxkhw/edit?usp=sharing"",""สุพรรณบุรี!I240"")"),120.0)</f>
        <v>120</v>
      </c>
      <c r="J345" s="222">
        <f>IFERROR(__xludf.DUMMYFUNCTION("IMPORTRANGE(""https://docs.google.com/spreadsheets/d/1SX6NBoVAgQJ6U1MVXOaj8PK2l7WJ3RER9xtqwdhxkhw/edit?usp=sharing"",""สุพรรณบุรี!J240"")"),116.0)</f>
        <v>116</v>
      </c>
      <c r="K345" s="375">
        <f t="shared" si="104"/>
        <v>96.66666667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IFERROR(__xludf.DUMMYFUNCTION("IMPORTRANGE(""https://docs.google.com/spreadsheets/d/1SX6NBoVAgQJ6U1MVXOaj8PK2l7WJ3RER9xtqwdhxkhw/edit?usp=sharing"",""สุพรรณบุรี!I241"")"),0.0)</f>
        <v>0</v>
      </c>
      <c r="J346" s="222">
        <f>IFERROR(__xludf.DUMMYFUNCTION("IMPORTRANGE(""https://docs.google.com/spreadsheets/d/1SX6NBoVAgQJ6U1MVXOaj8PK2l7WJ3RER9xtqwdhxkhw/edit?usp=sharing"",""สุพรรณบุรี!J241"")"),1535.77)</f>
        <v>1535.77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IFERROR(__xludf.DUMMYFUNCTION("IMPORTRANGE(""https://docs.google.com/spreadsheets/d/1SX6NBoVAgQJ6U1MVXOaj8PK2l7WJ3RER9xtqwdhxkhw/edit?usp=sharing"",""สุพรรณบุรี!L242"")"),2607395.0)</f>
        <v>2607395</v>
      </c>
      <c r="M347" s="391"/>
      <c r="N347" s="391">
        <f>IFERROR(__xludf.DUMMYFUNCTION("IMPORTRANGE(""https://docs.google.com/spreadsheets/d/1SX6NBoVAgQJ6U1MVXOaj8PK2l7WJ3RER9xtqwdhxkhw/edit?usp=sharing"",""สุพรรณบุรี!M242"")"),279417.98)</f>
        <v>279417.98</v>
      </c>
      <c r="O347" s="391">
        <f>+IF(L347&gt;0,N347*100/L347,0)</f>
        <v>10.71636557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IFERROR(__xludf.DUMMYFUNCTION("IMPORTRANGE(""https://docs.google.com/spreadsheets/d/1SX6NBoVAgQJ6U1MVXOaj8PK2l7WJ3RER9xtqwdhxkhw/edit?usp=sharing"",""สุพรรณบุรี!I244"")"),63.0)</f>
        <v>63</v>
      </c>
      <c r="J349" s="404">
        <f>IFERROR(__xludf.DUMMYFUNCTION("IMPORTRANGE(""https://docs.google.com/spreadsheets/d/1SX6NBoVAgQJ6U1MVXOaj8PK2l7WJ3RER9xtqwdhxkhw/edit?usp=sharing"",""สุพรรณบุรี!J244"")"),0.0)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IFERROR(__xludf.DUMMYFUNCTION("IMPORTRANGE(""https://docs.google.com/spreadsheets/d/1SX6NBoVAgQJ6U1MVXOaj8PK2l7WJ3RER9xtqwdhxkhw/edit?usp=sharing"",""สุพรรณบุรี!L244"")"),295840.0)</f>
        <v>295840</v>
      </c>
      <c r="M349" s="406"/>
      <c r="N349" s="406">
        <f>IFERROR(__xludf.DUMMYFUNCTION("IMPORTRANGE(""https://docs.google.com/spreadsheets/d/1SX6NBoVAgQJ6U1MVXOaj8PK2l7WJ3RER9xtqwdhxkhw/edit?usp=sharing"",""สุพรรณบุรี!M244"")"),24000.0)</f>
        <v>24000</v>
      </c>
      <c r="O349" s="406">
        <f>+IF(L349&gt;0,N349*100/L349,0)</f>
        <v>8.11249324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IFERROR(__xludf.DUMMYFUNCTION("IMPORTRANGE(""https://docs.google.com/spreadsheets/d/1SX6NBoVAgQJ6U1MVXOaj8PK2l7WJ3RER9xtqwdhxkhw/edit?usp=sharing"",""สุพรรณบุรี!I245"")"),42.0)</f>
        <v>42</v>
      </c>
      <c r="J350" s="404">
        <f>IFERROR(__xludf.DUMMYFUNCTION("IMPORTRANGE(""https://docs.google.com/spreadsheets/d/1SX6NBoVAgQJ6U1MVXOaj8PK2l7WJ3RER9xtqwdhxkhw/edit?usp=sharing"",""สุพรรณบุรี!J245"")"),0.0)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IFERROR(__xludf.DUMMYFUNCTION("IMPORTRANGE(""https://docs.google.com/spreadsheets/d/1SX6NBoVAgQJ6U1MVXOaj8PK2l7WJ3RER9xtqwdhxkhw/edit?usp=sharing"",""สุพรรณบุรี!L246"")"),0.0)</f>
        <v>0</v>
      </c>
      <c r="M351" s="197"/>
      <c r="N351" s="197">
        <f>IFERROR(__xludf.DUMMYFUNCTION("IMPORTRANGE(""https://docs.google.com/spreadsheets/d/1SX6NBoVAgQJ6U1MVXOaj8PK2l7WJ3RER9xtqwdhxkhw/edit?usp=sharing"",""สุพรรณบุรี!M246"")"),0.0)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IFERROR(__xludf.DUMMYFUNCTION("IMPORTRANGE(""https://docs.google.com/spreadsheets/d/1SX6NBoVAgQJ6U1MVXOaj8PK2l7WJ3RER9xtqwdhxkhw/edit?usp=sharing"",""สุพรรณบุรี!L247"")"),295840.0)</f>
        <v>295840</v>
      </c>
      <c r="M352" s="198"/>
      <c r="N352" s="197">
        <f>IFERROR(__xludf.DUMMYFUNCTION("IMPORTRANGE(""https://docs.google.com/spreadsheets/d/1SX6NBoVAgQJ6U1MVXOaj8PK2l7WJ3RER9xtqwdhxkhw/edit?usp=sharing"",""สุพรรณบุรี!M247"")"),24000.0)</f>
        <v>24000</v>
      </c>
      <c r="O352" s="198">
        <f t="shared" si="106"/>
        <v>8.11249324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IFERROR(__xludf.DUMMYFUNCTION("IMPORTRANGE(""https://docs.google.com/spreadsheets/d/1SX6NBoVAgQJ6U1MVXOaj8PK2l7WJ3RER9xtqwdhxkhw/edit?usp=sharing"",""สุพรรณบุรี!L248"")"),0.0)</f>
        <v>0</v>
      </c>
      <c r="M353" s="203"/>
      <c r="N353" s="203">
        <f>IFERROR(__xludf.DUMMYFUNCTION("IMPORTRANGE(""https://docs.google.com/spreadsheets/d/1SX6NBoVAgQJ6U1MVXOaj8PK2l7WJ3RER9xtqwdhxkhw/edit?usp=sharing"",""สุพรรณบุรี!M248"")"),0.0)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IFERROR(__xludf.DUMMYFUNCTION("IMPORTRANGE(""https://docs.google.com/spreadsheets/d/1SX6NBoVAgQJ6U1MVXOaj8PK2l7WJ3RER9xtqwdhxkhw/edit?usp=sharing"",""สุพรรณบุรี!L249"")"),295840.0)</f>
        <v>295840</v>
      </c>
      <c r="M354" s="203"/>
      <c r="N354" s="200">
        <f>IFERROR(__xludf.DUMMYFUNCTION("IMPORTRANGE(""https://docs.google.com/spreadsheets/d/1SX6NBoVAgQJ6U1MVXOaj8PK2l7WJ3RER9xtqwdhxkhw/edit?usp=sharing"",""สุพรรณบุรี!M249"")"),24000.0)</f>
        <v>24000</v>
      </c>
      <c r="O354" s="203">
        <f t="shared" si="106"/>
        <v>8.11249324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IFERROR(__xludf.DUMMYFUNCTION("IMPORTRANGE(""https://docs.google.com/spreadsheets/d/1SX6NBoVAgQJ6U1MVXOaj8PK2l7WJ3RER9xtqwdhxkhw/edit?usp=sharing"",""สุพรรณบุรี!M250"")"),0.0)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IFERROR(__xludf.DUMMYFUNCTION("IMPORTRANGE(""https://docs.google.com/spreadsheets/d/1SX6NBoVAgQJ6U1MVXOaj8PK2l7WJ3RER9xtqwdhxkhw/edit?usp=sharing"",""สุพรรณบุรี!M251"")"),0.0)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IFERROR(__xludf.DUMMYFUNCTION("IMPORTRANGE(""https://docs.google.com/spreadsheets/d/1SX6NBoVAgQJ6U1MVXOaj8PK2l7WJ3RER9xtqwdhxkhw/edit?usp=sharing"",""สุพรรณบุรี!M252"")"),22000.0)</f>
        <v>22000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IFERROR(__xludf.DUMMYFUNCTION("IMPORTRANGE(""https://docs.google.com/spreadsheets/d/1SX6NBoVAgQJ6U1MVXOaj8PK2l7WJ3RER9xtqwdhxkhw/edit?usp=sharing"",""สุพรรณบุรี!M253"")"),2000.0)</f>
        <v>2000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IFERROR(__xludf.DUMMYFUNCTION("IMPORTRANGE(""https://docs.google.com/spreadsheets/d/1SX6NBoVAgQJ6U1MVXOaj8PK2l7WJ3RER9xtqwdhxkhw/edit?usp=sharing"",""สุพรรณบุรี!J255"")"),0.0)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IFERROR(__xludf.DUMMYFUNCTION("IMPORTRANGE(""https://docs.google.com/spreadsheets/d/1SX6NBoVAgQJ6U1MVXOaj8PK2l7WJ3RER9xtqwdhxkhw/edit?usp=sharing"",""สุพรรณบุรี!J256"")"),1.0)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IFERROR(__xludf.DUMMYFUNCTION("IMPORTRANGE(""https://docs.google.com/spreadsheets/d/1SX6NBoVAgQJ6U1MVXOaj8PK2l7WJ3RER9xtqwdhxkhw/edit?usp=sharing"",""สุพรรณบุรี!J257"")"),1.0)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IFERROR(__xludf.DUMMYFUNCTION("IMPORTRANGE(""https://docs.google.com/spreadsheets/d/1SX6NBoVAgQJ6U1MVXOaj8PK2l7WJ3RER9xtqwdhxkhw/edit?usp=sharing"",""สุพรรณบุรี!J258"")"),1.0)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IFERROR(__xludf.DUMMYFUNCTION("IMPORTRANGE(""https://docs.google.com/spreadsheets/d/1SX6NBoVAgQJ6U1MVXOaj8PK2l7WJ3RER9xtqwdhxkhw/edit?usp=sharing"",""สุพรรณบุรี!J166"")"),0.0)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IFERROR(__xludf.DUMMYFUNCTION("IMPORTRANGE(""https://docs.google.com/spreadsheets/d/1SX6NBoVAgQJ6U1MVXOaj8PK2l7WJ3RER9xtqwdhxkhw/edit?usp=sharing"",""สุพรรณบุรี!J166"")"),0.0)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IFERROR(__xludf.DUMMYFUNCTION("IMPORTRANGE(""https://docs.google.com/spreadsheets/d/1SX6NBoVAgQJ6U1MVXOaj8PK2l7WJ3RER9xtqwdhxkhw/edit?usp=sharing"",""สุพรรณบุรี!J166"")"),0.0)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IFERROR(__xludf.DUMMYFUNCTION("IMPORTRANGE(""https://docs.google.com/spreadsheets/d/1SX6NBoVAgQJ6U1MVXOaj8PK2l7WJ3RER9xtqwdhxkhw/edit?usp=sharing"",""สุพรรณบุรี!J166"")"),0.0)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IFERROR(__xludf.DUMMYFUNCTION("IMPORTRANGE(""https://docs.google.com/spreadsheets/d/1SX6NBoVAgQJ6U1MVXOaj8PK2l7WJ3RER9xtqwdhxkhw/edit?usp=sharing"",""สุพรรณบุรี!I263"")"),42.0)</f>
        <v>42</v>
      </c>
      <c r="J368" s="222">
        <f>IFERROR(__xludf.DUMMYFUNCTION("IMPORTRANGE(""https://docs.google.com/spreadsheets/d/1SX6NBoVAgQJ6U1MVXOaj8PK2l7WJ3RER9xtqwdhxkhw/edit?usp=sharing"",""สุพรรณบุรี!J263"")"),0.0)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IFERROR(__xludf.DUMMYFUNCTION("IMPORTRANGE(""https://docs.google.com/spreadsheets/d/1SX6NBoVAgQJ6U1MVXOaj8PK2l7WJ3RER9xtqwdhxkhw/edit?usp=sharing"",""สุพรรณบุรี!I164"")"),0.0)</f>
        <v>0</v>
      </c>
      <c r="J369" s="238">
        <f>IFERROR(__xludf.DUMMYFUNCTION("IMPORTRANGE(""https://docs.google.com/spreadsheets/d/1SX6NBoVAgQJ6U1MVXOaj8PK2l7WJ3RER9xtqwdhxkhw/edit?usp=sharing"",""สุพรรณบุรี!J164"")"),0.0)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IFERROR(__xludf.DUMMYFUNCTION("IMPORTRANGE(""https://docs.google.com/spreadsheets/d/1SX6NBoVAgQJ6U1MVXOaj8PK2l7WJ3RER9xtqwdhxkhw/edit?usp=sharing"",""สุพรรณบุรี!I265"")"),42.0)</f>
        <v>42</v>
      </c>
      <c r="J370" s="238">
        <f>IFERROR(__xludf.DUMMYFUNCTION("IMPORTRANGE(""https://docs.google.com/spreadsheets/d/1SX6NBoVAgQJ6U1MVXOaj8PK2l7WJ3RER9xtqwdhxkhw/edit?usp=sharing"",""สุพรรณบุรี!J265"")"),0.0)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IFERROR(__xludf.DUMMYFUNCTION("IMPORTRANGE(""https://docs.google.com/spreadsheets/d/1SX6NBoVAgQJ6U1MVXOaj8PK2l7WJ3RER9xtqwdhxkhw/edit?usp=sharing"",""สุพรรณบุรี!I164"")"),0.0)</f>
        <v>0</v>
      </c>
      <c r="J371" s="223">
        <f>IFERROR(__xludf.DUMMYFUNCTION("IMPORTRANGE(""https://docs.google.com/spreadsheets/d/1SX6NBoVAgQJ6U1MVXOaj8PK2l7WJ3RER9xtqwdhxkhw/edit?usp=sharing"",""สุพรรณบุรี!J164"")"),0.0)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IFERROR(__xludf.DUMMYFUNCTION("IMPORTRANGE(""https://docs.google.com/spreadsheets/d/1SX6NBoVAgQJ6U1MVXOaj8PK2l7WJ3RER9xtqwdhxkhw/edit?usp=sharing"",""สุพรรณบุรี!I267"")"),42.0)</f>
        <v>42</v>
      </c>
      <c r="J372" s="223">
        <f>IFERROR(__xludf.DUMMYFUNCTION("IMPORTRANGE(""https://docs.google.com/spreadsheets/d/1SX6NBoVAgQJ6U1MVXOaj8PK2l7WJ3RER9xtqwdhxkhw/edit?usp=sharing"",""สุพรรณบุรี!J267"")"),0.0)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IFERROR(__xludf.DUMMYFUNCTION("IMPORTRANGE(""https://docs.google.com/spreadsheets/d/1SX6NBoVAgQJ6U1MVXOaj8PK2l7WJ3RER9xtqwdhxkhw/edit?usp=sharing"",""สุพรรณบุรี!I164"")"),0.0)</f>
        <v>0</v>
      </c>
      <c r="J373" s="238">
        <f>IFERROR(__xludf.DUMMYFUNCTION("IMPORTRANGE(""https://docs.google.com/spreadsheets/d/1SX6NBoVAgQJ6U1MVXOaj8PK2l7WJ3RER9xtqwdhxkhw/edit?usp=sharing"",""สุพรรณบุรี!J164"")"),0.0)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IFERROR(__xludf.DUMMYFUNCTION("IMPORTRANGE(""https://docs.google.com/spreadsheets/d/1SX6NBoVAgQJ6U1MVXOaj8PK2l7WJ3RER9xtqwdhxkhw/edit?usp=sharing"",""สุพรรณบุรี!I164"")"),0.0)</f>
        <v>0</v>
      </c>
      <c r="J374" s="222">
        <f>IFERROR(__xludf.DUMMYFUNCTION("IMPORTRANGE(""https://docs.google.com/spreadsheets/d/1SX6NBoVAgQJ6U1MVXOaj8PK2l7WJ3RER9xtqwdhxkhw/edit?usp=sharing"",""สุพรรณบุรี!J164"")"),0.0)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IFERROR(__xludf.DUMMYFUNCTION("IMPORTRANGE(""https://docs.google.com/spreadsheets/d/1SX6NBoVAgQJ6U1MVXOaj8PK2l7WJ3RER9xtqwdhxkhw/edit?usp=sharing"",""สุพรรณบุรี!I270"")"),63.0)</f>
        <v>63</v>
      </c>
      <c r="J375" s="222">
        <f>IFERROR(__xludf.DUMMYFUNCTION("IMPORTRANGE(""https://docs.google.com/spreadsheets/d/1SX6NBoVAgQJ6U1MVXOaj8PK2l7WJ3RER9xtqwdhxkhw/edit?usp=sharing"",""สุพรรณบุรี!J270"")"),0.0)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IFERROR(__xludf.DUMMYFUNCTION("IMPORTRANGE(""https://docs.google.com/spreadsheets/d/1SX6NBoVAgQJ6U1MVXOaj8PK2l7WJ3RER9xtqwdhxkhw/edit?usp=sharing"",""สุพรรณบุรี!I271"")"),20.0)</f>
        <v>20</v>
      </c>
      <c r="J376" s="223">
        <f>IFERROR(__xludf.DUMMYFUNCTION("IMPORTRANGE(""https://docs.google.com/spreadsheets/d/1SX6NBoVAgQJ6U1MVXOaj8PK2l7WJ3RER9xtqwdhxkhw/edit?usp=sharing"",""สุพรรณบุรี!J271"")"),0.0)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IFERROR(__xludf.DUMMYFUNCTION("IMPORTRANGE(""https://docs.google.com/spreadsheets/d/1SX6NBoVAgQJ6U1MVXOaj8PK2l7WJ3RER9xtqwdhxkhw/edit?usp=sharing"",""สุพรรณบุรี!I272"")"),43.0)</f>
        <v>43</v>
      </c>
      <c r="J377" s="238">
        <f>IFERROR(__xludf.DUMMYFUNCTION("IMPORTRANGE(""https://docs.google.com/spreadsheets/d/1SX6NBoVAgQJ6U1MVXOaj8PK2l7WJ3RER9xtqwdhxkhw/edit?usp=sharing"",""สุพรรณบุรี!J272"")"),0.0)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IFERROR(__xludf.DUMMYFUNCTION("IMPORTRANGE(""https://docs.google.com/spreadsheets/d/1SX6NBoVAgQJ6U1MVXOaj8PK2l7WJ3RER9xtqwdhxkhw/edit?usp=sharing"",""สุพรรณบุรี!J273"")"),0.0)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IFERROR(__xludf.DUMMYFUNCTION("IMPORTRANGE(""https://docs.google.com/spreadsheets/d/1SX6NBoVAgQJ6U1MVXOaj8PK2l7WJ3RER9xtqwdhxkhw/edit?usp=sharing"",""สุพรรณบุรี!J274"")"),0.0)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IFERROR(__xludf.DUMMYFUNCTION("IMPORTRANGE(""https://docs.google.com/spreadsheets/d/1SX6NBoVAgQJ6U1MVXOaj8PK2l7WJ3RER9xtqwdhxkhw/edit?usp=sharing"",""สุพรรณบุรี!I275"")"),1000.0)</f>
        <v>1000</v>
      </c>
      <c r="J380" s="404">
        <f>IFERROR(__xludf.DUMMYFUNCTION("IMPORTRANGE(""https://docs.google.com/spreadsheets/d/1SX6NBoVAgQJ6U1MVXOaj8PK2l7WJ3RER9xtqwdhxkhw/edit?usp=sharing"",""สุพรรณบุรี!J275"")"),0.0)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IFERROR(__xludf.DUMMYFUNCTION("IMPORTRANGE(""https://docs.google.com/spreadsheets/d/1SX6NBoVAgQJ6U1MVXOaj8PK2l7WJ3RER9xtqwdhxkhw/edit?usp=sharing"",""สุพรรณบุรี!L275"")"),1028520.0)</f>
        <v>1028520</v>
      </c>
      <c r="M380" s="406"/>
      <c r="N380" s="406">
        <f>IFERROR(__xludf.DUMMYFUNCTION("IMPORTRANGE(""https://docs.google.com/spreadsheets/d/1SX6NBoVAgQJ6U1MVXOaj8PK2l7WJ3RER9xtqwdhxkhw/edit?usp=sharing"",""สุพรรณบุรี!M275"")"),26000.0)</f>
        <v>26000</v>
      </c>
      <c r="O380" s="406">
        <f>+IF(L380&gt;0,N380*100/L380,0)</f>
        <v>2.527904173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IFERROR(__xludf.DUMMYFUNCTION("IMPORTRANGE(""https://docs.google.com/spreadsheets/d/1SX6NBoVAgQJ6U1MVXOaj8PK2l7WJ3RER9xtqwdhxkhw/edit?usp=sharing"",""สุพรรณบุรี!I276"")"),100.0)</f>
        <v>100</v>
      </c>
      <c r="J381" s="404">
        <f>IFERROR(__xludf.DUMMYFUNCTION("IMPORTRANGE(""https://docs.google.com/spreadsheets/d/1SX6NBoVAgQJ6U1MVXOaj8PK2l7WJ3RER9xtqwdhxkhw/edit?usp=sharing"",""สุพรรณบุรี!J276"")"),0.0)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IFERROR(__xludf.DUMMYFUNCTION("IMPORTRANGE(""https://docs.google.com/spreadsheets/d/1SX6NBoVAgQJ6U1MVXOaj8PK2l7WJ3RER9xtqwdhxkhw/edit?usp=sharing"",""สุพรรณบุรี!L277"")"),0.0)</f>
        <v>0</v>
      </c>
      <c r="M382" s="197"/>
      <c r="N382" s="197">
        <f>IFERROR(__xludf.DUMMYFUNCTION("IMPORTRANGE(""https://docs.google.com/spreadsheets/d/1SX6NBoVAgQJ6U1MVXOaj8PK2l7WJ3RER9xtqwdhxkhw/edit?usp=sharing"",""สุพรรณบุรี!M277"")"),0.0)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IFERROR(__xludf.DUMMYFUNCTION("IMPORTRANGE(""https://docs.google.com/spreadsheets/d/1SX6NBoVAgQJ6U1MVXOaj8PK2l7WJ3RER9xtqwdhxkhw/edit?usp=sharing"",""สุพรรณบุรี!L278"")"),1028520.0)</f>
        <v>1028520</v>
      </c>
      <c r="M383" s="198"/>
      <c r="N383" s="198">
        <f>IFERROR(__xludf.DUMMYFUNCTION("IMPORTRANGE(""https://docs.google.com/spreadsheets/d/1SX6NBoVAgQJ6U1MVXOaj8PK2l7WJ3RER9xtqwdhxkhw/edit?usp=sharing"",""สุพรรณบุรี!M278"")"),26000.0)</f>
        <v>26000</v>
      </c>
      <c r="O383" s="198">
        <f t="shared" si="110"/>
        <v>2.527904173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IFERROR(__xludf.DUMMYFUNCTION("IMPORTRANGE(""https://docs.google.com/spreadsheets/d/1SX6NBoVAgQJ6U1MVXOaj8PK2l7WJ3RER9xtqwdhxkhw/edit?usp=sharing"",""สุพรรณบุรี!L279"")"),0.0)</f>
        <v>0</v>
      </c>
      <c r="M384" s="203"/>
      <c r="N384" s="203">
        <f>IFERROR(__xludf.DUMMYFUNCTION("IMPORTRANGE(""https://docs.google.com/spreadsheets/d/1SX6NBoVAgQJ6U1MVXOaj8PK2l7WJ3RER9xtqwdhxkhw/edit?usp=sharing"",""สุพรรณบุรี!M279"")"),0.0)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IFERROR(__xludf.DUMMYFUNCTION("IMPORTRANGE(""https://docs.google.com/spreadsheets/d/1SX6NBoVAgQJ6U1MVXOaj8PK2l7WJ3RER9xtqwdhxkhw/edit?usp=sharing"",""สุพรรณบุรี!L280"")"),1028520.0)</f>
        <v>1028520</v>
      </c>
      <c r="M385" s="203"/>
      <c r="N385" s="200">
        <f>IFERROR(__xludf.DUMMYFUNCTION("IMPORTRANGE(""https://docs.google.com/spreadsheets/d/1SX6NBoVAgQJ6U1MVXOaj8PK2l7WJ3RER9xtqwdhxkhw/edit?usp=sharing"",""สุพรรณบุรี!M280"")"),26000.0)</f>
        <v>26000</v>
      </c>
      <c r="O385" s="203">
        <f t="shared" si="110"/>
        <v>2.527904173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IFERROR(__xludf.DUMMYFUNCTION("IMPORTRANGE(""https://docs.google.com/spreadsheets/d/1SX6NBoVAgQJ6U1MVXOaj8PK2l7WJ3RER9xtqwdhxkhw/edit?usp=sharing"",""สุพรรณบุรี!M281"")"),0.0)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IFERROR(__xludf.DUMMYFUNCTION("IMPORTRANGE(""https://docs.google.com/spreadsheets/d/1SX6NBoVAgQJ6U1MVXOaj8PK2l7WJ3RER9xtqwdhxkhw/edit?usp=sharing"",""สุพรรณบุรี!M282"")"),0.0)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IFERROR(__xludf.DUMMYFUNCTION("IMPORTRANGE(""https://docs.google.com/spreadsheets/d/1SX6NBoVAgQJ6U1MVXOaj8PK2l7WJ3RER9xtqwdhxkhw/edit?usp=sharing"",""สุพรรณบุรี!M283"")"),26000.0)</f>
        <v>26000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IFERROR(__xludf.DUMMYFUNCTION("IMPORTRANGE(""https://docs.google.com/spreadsheets/d/1SX6NBoVAgQJ6U1MVXOaj8PK2l7WJ3RER9xtqwdhxkhw/edit?usp=sharing"",""สุพรรณบุรี!M284"")"),0.0)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IFERROR(__xludf.DUMMYFUNCTION("IMPORTRANGE(""https://docs.google.com/spreadsheets/d/1SX6NBoVAgQJ6U1MVXOaj8PK2l7WJ3RER9xtqwdhxkhw/edit?usp=sharing"",""สุพรรณบุรี!J286"")"),0.0)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IFERROR(__xludf.DUMMYFUNCTION("IMPORTRANGE(""https://docs.google.com/spreadsheets/d/1SX6NBoVAgQJ6U1MVXOaj8PK2l7WJ3RER9xtqwdhxkhw/edit?usp=sharing"",""สุพรรณบุรี!J287"")"),1.0)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IFERROR(__xludf.DUMMYFUNCTION("IMPORTRANGE(""https://docs.google.com/spreadsheets/d/1SX6NBoVAgQJ6U1MVXOaj8PK2l7WJ3RER9xtqwdhxkhw/edit?usp=sharing"",""สุพรรณบุรี!J288"")"),1.0)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IFERROR(__xludf.DUMMYFUNCTION("IMPORTRANGE(""https://docs.google.com/spreadsheets/d/1SX6NBoVAgQJ6U1MVXOaj8PK2l7WJ3RER9xtqwdhxkhw/edit?usp=sharing"",""สุพรรณบุรี!J289"")"),1.0)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IFERROR(__xludf.DUMMYFUNCTION("IMPORTRANGE(""https://docs.google.com/spreadsheets/d/1SX6NBoVAgQJ6U1MVXOaj8PK2l7WJ3RER9xtqwdhxkhw/edit?usp=sharing"",""สุพรรณบุรี!I291"")"),100.0)</f>
        <v>100</v>
      </c>
      <c r="J396" s="232">
        <f>IFERROR(__xludf.DUMMYFUNCTION("IMPORTRANGE(""https://docs.google.com/spreadsheets/d/1SX6NBoVAgQJ6U1MVXOaj8PK2l7WJ3RER9xtqwdhxkhw/edit?usp=sharing"",""สุพรรณบุรี!J291"")"),0.0)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IFERROR(__xludf.DUMMYFUNCTION("IMPORTRANGE(""https://docs.google.com/spreadsheets/d/1SX6NBoVAgQJ6U1MVXOaj8PK2l7WJ3RER9xtqwdhxkhw/edit?usp=sharing"",""สุพรรณบุรี!I292"")"),1000.0)</f>
        <v>1000</v>
      </c>
      <c r="J397" s="232">
        <f>IFERROR(__xludf.DUMMYFUNCTION("IMPORTRANGE(""https://docs.google.com/spreadsheets/d/1SX6NBoVAgQJ6U1MVXOaj8PK2l7WJ3RER9xtqwdhxkhw/edit?usp=sharing"",""สุพรรณบุรี!J292"")"),0.0)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IFERROR(__xludf.DUMMYFUNCTION("IMPORTRANGE(""https://docs.google.com/spreadsheets/d/1SX6NBoVAgQJ6U1MVXOaj8PK2l7WJ3RER9xtqwdhxkhw/edit?usp=sharing"",""สุพรรณบุรี!I293"")"),100.0)</f>
        <v>100</v>
      </c>
      <c r="J398" s="232">
        <f>IFERROR(__xludf.DUMMYFUNCTION("IMPORTRANGE(""https://docs.google.com/spreadsheets/d/1SX6NBoVAgQJ6U1MVXOaj8PK2l7WJ3RER9xtqwdhxkhw/edit?usp=sharing"",""สุพรรณบุรี!J293"")"),0.0)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IFERROR(__xludf.DUMMYFUNCTION("IMPORTRANGE(""https://docs.google.com/spreadsheets/d/1SX6NBoVAgQJ6U1MVXOaj8PK2l7WJ3RER9xtqwdhxkhw/edit?usp=sharing"",""สุพรรณบุรี!J294"")"),0.0)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IFERROR(__xludf.DUMMYFUNCTION("IMPORTRANGE(""https://docs.google.com/spreadsheets/d/1SX6NBoVAgQJ6U1MVXOaj8PK2l7WJ3RER9xtqwdhxkhw/edit?usp=sharing"",""สุพรรณบุรี!J295"")"),0.0)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IFERROR(__xludf.DUMMYFUNCTION("IMPORTRANGE(""https://docs.google.com/spreadsheets/d/1SX6NBoVAgQJ6U1MVXOaj8PK2l7WJ3RER9xtqwdhxkhw/edit?usp=sharing"",""สุพรรณบุรี!I296"")"),180.0)</f>
        <v>180</v>
      </c>
      <c r="J401" s="404">
        <f>IFERROR(__xludf.DUMMYFUNCTION("IMPORTRANGE(""https://docs.google.com/spreadsheets/d/1SX6NBoVAgQJ6U1MVXOaj8PK2l7WJ3RER9xtqwdhxkhw/edit?usp=sharing"",""สุพรรณบุรี!J296"")"),0.0)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IFERROR(__xludf.DUMMYFUNCTION("IMPORTRANGE(""https://docs.google.com/spreadsheets/d/1SX6NBoVAgQJ6U1MVXOaj8PK2l7WJ3RER9xtqwdhxkhw/edit?usp=sharing"",""สุพรรณบุรี!L296"")"),186540.0)</f>
        <v>186540</v>
      </c>
      <c r="M401" s="406"/>
      <c r="N401" s="406">
        <f>IFERROR(__xludf.DUMMYFUNCTION("IMPORTRANGE(""https://docs.google.com/spreadsheets/d/1SX6NBoVAgQJ6U1MVXOaj8PK2l7WJ3RER9xtqwdhxkhw/edit?usp=sharing"",""สุพรรณบุรี!M296"")"),800.0)</f>
        <v>800</v>
      </c>
      <c r="O401" s="406">
        <f>+IF(L401&gt;0,N401*100/L401,0)</f>
        <v>0.4288624424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IFERROR(__xludf.DUMMYFUNCTION("IMPORTRANGE(""https://docs.google.com/spreadsheets/d/1SX6NBoVAgQJ6U1MVXOaj8PK2l7WJ3RER9xtqwdhxkhw/edit?usp=sharing"",""สุพรรณบุรี!I297"")"),60.0)</f>
        <v>60</v>
      </c>
      <c r="J402" s="404">
        <f>IFERROR(__xludf.DUMMYFUNCTION("IMPORTRANGE(""https://docs.google.com/spreadsheets/d/1SX6NBoVAgQJ6U1MVXOaj8PK2l7WJ3RER9xtqwdhxkhw/edit?usp=sharing"",""สุพรรณบุรี!J297"")"),0.0)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IFERROR(__xludf.DUMMYFUNCTION("IMPORTRANGE(""https://docs.google.com/spreadsheets/d/1SX6NBoVAgQJ6U1MVXOaj8PK2l7WJ3RER9xtqwdhxkhw/edit?usp=sharing"",""สุพรรณบุรี!L298"")"),0.0)</f>
        <v>0</v>
      </c>
      <c r="M403" s="197"/>
      <c r="N403" s="203">
        <f>IFERROR(__xludf.DUMMYFUNCTION("IMPORTRANGE(""https://docs.google.com/spreadsheets/d/1SX6NBoVAgQJ6U1MVXOaj8PK2l7WJ3RER9xtqwdhxkhw/edit?usp=sharing"",""สุพรรณบุรี!M298"")"),0.0)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IFERROR(__xludf.DUMMYFUNCTION("IMPORTRANGE(""https://docs.google.com/spreadsheets/d/1SX6NBoVAgQJ6U1MVXOaj8PK2l7WJ3RER9xtqwdhxkhw/edit?usp=sharing"",""สุพรรณบุรี!L299"")"),186540.0)</f>
        <v>186540</v>
      </c>
      <c r="M404" s="198"/>
      <c r="N404" s="203">
        <f>IFERROR(__xludf.DUMMYFUNCTION("IMPORTRANGE(""https://docs.google.com/spreadsheets/d/1SX6NBoVAgQJ6U1MVXOaj8PK2l7WJ3RER9xtqwdhxkhw/edit?usp=sharing"",""สุพรรณบุรี!M299"")"),800.0)</f>
        <v>800</v>
      </c>
      <c r="O404" s="203">
        <f t="shared" si="113"/>
        <v>0.4288624424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IFERROR(__xludf.DUMMYFUNCTION("IMPORTRANGE(""https://docs.google.com/spreadsheets/d/1SX6NBoVAgQJ6U1MVXOaj8PK2l7WJ3RER9xtqwdhxkhw/edit?usp=sharing"",""สุพรรณบุรี!L300"")"),0.0)</f>
        <v>0</v>
      </c>
      <c r="M405" s="203"/>
      <c r="N405" s="203">
        <f>IFERROR(__xludf.DUMMYFUNCTION("IMPORTRANGE(""https://docs.google.com/spreadsheets/d/1SX6NBoVAgQJ6U1MVXOaj8PK2l7WJ3RER9xtqwdhxkhw/edit?usp=sharing"",""สุพรรณบุรี!M300"")"),0.0)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IFERROR(__xludf.DUMMYFUNCTION("IMPORTRANGE(""https://docs.google.com/spreadsheets/d/1SX6NBoVAgQJ6U1MVXOaj8PK2l7WJ3RER9xtqwdhxkhw/edit?usp=sharing"",""สุพรรณบุรี!L301"")"),186540.0)</f>
        <v>186540</v>
      </c>
      <c r="M406" s="203"/>
      <c r="N406" s="203">
        <f>IFERROR(__xludf.DUMMYFUNCTION("IMPORTRANGE(""https://docs.google.com/spreadsheets/d/1SX6NBoVAgQJ6U1MVXOaj8PK2l7WJ3RER9xtqwdhxkhw/edit?usp=sharing"",""สุพรรณบุรี!M301"")"),800.0)</f>
        <v>800</v>
      </c>
      <c r="O406" s="203">
        <f t="shared" si="113"/>
        <v>0.4288624424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IFERROR(__xludf.DUMMYFUNCTION("IMPORTRANGE(""https://docs.google.com/spreadsheets/d/1SX6NBoVAgQJ6U1MVXOaj8PK2l7WJ3RER9xtqwdhxkhw/edit?usp=sharing"",""สุพรรณบุรี!M302"")"),0.0)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IFERROR(__xludf.DUMMYFUNCTION("IMPORTRANGE(""https://docs.google.com/spreadsheets/d/1SX6NBoVAgQJ6U1MVXOaj8PK2l7WJ3RER9xtqwdhxkhw/edit?usp=sharing"",""สุพรรณบุรี!M303"")"),0.0)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IFERROR(__xludf.DUMMYFUNCTION("IMPORTRANGE(""https://docs.google.com/spreadsheets/d/1SX6NBoVAgQJ6U1MVXOaj8PK2l7WJ3RER9xtqwdhxkhw/edit?usp=sharing"",""สุพรรณบุรี!M304"")"),0.0)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IFERROR(__xludf.DUMMYFUNCTION("IMPORTRANGE(""https://docs.google.com/spreadsheets/d/1SX6NBoVAgQJ6U1MVXOaj8PK2l7WJ3RER9xtqwdhxkhw/edit?usp=sharing"",""สุพรรณบุรี!M305"")"),800.0)</f>
        <v>800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IFERROR(__xludf.DUMMYFUNCTION("IMPORTRANGE(""https://docs.google.com/spreadsheets/d/1SX6NBoVAgQJ6U1MVXOaj8PK2l7WJ3RER9xtqwdhxkhw/edit?usp=sharing"",""สุพรรณบุรี!J307"")"),0.0)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IFERROR(__xludf.DUMMYFUNCTION("IMPORTRANGE(""https://docs.google.com/spreadsheets/d/1SX6NBoVAgQJ6U1MVXOaj8PK2l7WJ3RER9xtqwdhxkhw/edit?usp=sharing"",""สุพรรณบุรี!J308"")"),1.0)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IFERROR(__xludf.DUMMYFUNCTION("IMPORTRANGE(""https://docs.google.com/spreadsheets/d/1SX6NBoVAgQJ6U1MVXOaj8PK2l7WJ3RER9xtqwdhxkhw/edit?usp=sharing"",""สุพรรณบุรี!J309"")"),1.0)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IFERROR(__xludf.DUMMYFUNCTION("IMPORTRANGE(""https://docs.google.com/spreadsheets/d/1SX6NBoVAgQJ6U1MVXOaj8PK2l7WJ3RER9xtqwdhxkhw/edit?usp=sharing"",""สุพรรณบุรี!J310"")"),1.0)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IFERROR(__xludf.DUMMYFUNCTION("IMPORTRANGE(""https://docs.google.com/spreadsheets/d/1SX6NBoVAgQJ6U1MVXOaj8PK2l7WJ3RER9xtqwdhxkhw/edit?usp=sharing"",""สุพรรณบุรี!I311"")"),60.0)</f>
        <v>60</v>
      </c>
      <c r="J416" s="235">
        <f>IFERROR(__xludf.DUMMYFUNCTION("IMPORTRANGE(""https://docs.google.com/spreadsheets/d/1SX6NBoVAgQJ6U1MVXOaj8PK2l7WJ3RER9xtqwdhxkhw/edit?usp=sharing"",""สุพรรณบุรี!J311"")"),0.0)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IFERROR(__xludf.DUMMYFUNCTION("IMPORTRANGE(""https://docs.google.com/spreadsheets/d/1SX6NBoVAgQJ6U1MVXOaj8PK2l7WJ3RER9xtqwdhxkhw/edit?usp=sharing"",""สุพรรณบุรี!I312"")"),0.0)</f>
        <v>0</v>
      </c>
      <c r="J417" s="425">
        <f>IFERROR(__xludf.DUMMYFUNCTION("IMPORTRANGE(""https://docs.google.com/spreadsheets/d/1SX6NBoVAgQJ6U1MVXOaj8PK2l7WJ3RER9xtqwdhxkhw/edit?usp=sharing"",""สุพรรณบุรี!J312"")"),0.0)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IFERROR(__xludf.DUMMYFUNCTION("IMPORTRANGE(""https://docs.google.com/spreadsheets/d/1SX6NBoVAgQJ6U1MVXOaj8PK2l7WJ3RER9xtqwdhxkhw/edit?usp=sharing"",""สุพรรณบุรี!I313"")"),0.0)</f>
        <v>0</v>
      </c>
      <c r="J418" s="426">
        <f>IFERROR(__xludf.DUMMYFUNCTION("IMPORTRANGE(""https://docs.google.com/spreadsheets/d/1SX6NBoVAgQJ6U1MVXOaj8PK2l7WJ3RER9xtqwdhxkhw/edit?usp=sharing"",""สุพรรณบุรี!J313"")"),0.0)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IFERROR(__xludf.DUMMYFUNCTION("IMPORTRANGE(""https://docs.google.com/spreadsheets/d/1SX6NBoVAgQJ6U1MVXOaj8PK2l7WJ3RER9xtqwdhxkhw/edit?usp=sharing"",""สุพรรณบุรี!I314"")"),0.0)</f>
        <v>0</v>
      </c>
      <c r="J419" s="427">
        <f>IFERROR(__xludf.DUMMYFUNCTION("IMPORTRANGE(""https://docs.google.com/spreadsheets/d/1SX6NBoVAgQJ6U1MVXOaj8PK2l7WJ3RER9xtqwdhxkhw/edit?usp=sharing"",""สุพรรณบุรี!J314"")"),0.0)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IFERROR(__xludf.DUMMYFUNCTION("IMPORTRANGE(""https://docs.google.com/spreadsheets/d/1SX6NBoVAgQJ6U1MVXOaj8PK2l7WJ3RER9xtqwdhxkhw/edit?usp=sharing"",""สุพรรณบุรี!I315"")"),0.0)</f>
        <v>0</v>
      </c>
      <c r="J420" s="427">
        <f>IFERROR(__xludf.DUMMYFUNCTION("IMPORTRANGE(""https://docs.google.com/spreadsheets/d/1SX6NBoVAgQJ6U1MVXOaj8PK2l7WJ3RER9xtqwdhxkhw/edit?usp=sharing"",""สุพรรณบุรี!J315"")"),0.0)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IFERROR(__xludf.DUMMYFUNCTION("IMPORTRANGE(""https://docs.google.com/spreadsheets/d/1SX6NBoVAgQJ6U1MVXOaj8PK2l7WJ3RER9xtqwdhxkhw/edit?usp=sharing"",""สุพรรณบุรี!I316"")"),50.0)</f>
        <v>50</v>
      </c>
      <c r="J421" s="425">
        <f>IFERROR(__xludf.DUMMYFUNCTION("IMPORTRANGE(""https://docs.google.com/spreadsheets/d/1SX6NBoVAgQJ6U1MVXOaj8PK2l7WJ3RER9xtqwdhxkhw/edit?usp=sharing"",""สุพรรณบุรี!J316"")"),0.0)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IFERROR(__xludf.DUMMYFUNCTION("IMPORTRANGE(""https://docs.google.com/spreadsheets/d/1SX6NBoVAgQJ6U1MVXOaj8PK2l7WJ3RER9xtqwdhxkhw/edit?usp=sharing"",""สุพรรณบุรี!I317"")"),150.0)</f>
        <v>150</v>
      </c>
      <c r="J422" s="426">
        <f>IFERROR(__xludf.DUMMYFUNCTION("IMPORTRANGE(""https://docs.google.com/spreadsheets/d/1SX6NBoVAgQJ6U1MVXOaj8PK2l7WJ3RER9xtqwdhxkhw/edit?usp=sharing"",""สุพรรณบุรี!J317"")"),0.0)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IFERROR(__xludf.DUMMYFUNCTION("IMPORTRANGE(""https://docs.google.com/spreadsheets/d/1SX6NBoVAgQJ6U1MVXOaj8PK2l7WJ3RER9xtqwdhxkhw/edit?usp=sharing"",""สุพรรณบุรี!I318"")"),50.0)</f>
        <v>50</v>
      </c>
      <c r="J423" s="427">
        <f>IFERROR(__xludf.DUMMYFUNCTION("IMPORTRANGE(""https://docs.google.com/spreadsheets/d/1SX6NBoVAgQJ6U1MVXOaj8PK2l7WJ3RER9xtqwdhxkhw/edit?usp=sharing"",""สุพรรณบุรี!J318"")"),0.0)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IFERROR(__xludf.DUMMYFUNCTION("IMPORTRANGE(""https://docs.google.com/spreadsheets/d/1SX6NBoVAgQJ6U1MVXOaj8PK2l7WJ3RER9xtqwdhxkhw/edit?usp=sharing"",""สุพรรณบุรี!I319"")"),50.0)</f>
        <v>50</v>
      </c>
      <c r="J424" s="427">
        <f>IFERROR(__xludf.DUMMYFUNCTION("IMPORTRANGE(""https://docs.google.com/spreadsheets/d/1SX6NBoVAgQJ6U1MVXOaj8PK2l7WJ3RER9xtqwdhxkhw/edit?usp=sharing"",""สุพรรณบุรี!J319"")"),0.0)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IFERROR(__xludf.DUMMYFUNCTION("IMPORTRANGE(""https://docs.google.com/spreadsheets/d/1SX6NBoVAgQJ6U1MVXOaj8PK2l7WJ3RER9xtqwdhxkhw/edit?usp=sharing"",""สุพรรณบุรี!I320"")"),50.0)</f>
        <v>50</v>
      </c>
      <c r="J425" s="427">
        <f>IFERROR(__xludf.DUMMYFUNCTION("IMPORTRANGE(""https://docs.google.com/spreadsheets/d/1SX6NBoVAgQJ6U1MVXOaj8PK2l7WJ3RER9xtqwdhxkhw/edit?usp=sharing"",""สุพรรณบุรี!J320"")"),0.0)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IFERROR(__xludf.DUMMYFUNCTION("IMPORTRANGE(""https://docs.google.com/spreadsheets/d/1SX6NBoVAgQJ6U1MVXOaj8PK2l7WJ3RER9xtqwdhxkhw/edit?usp=sharing"",""สุพรรณบุรี!I321"")"),10.0)</f>
        <v>10</v>
      </c>
      <c r="J426" s="425">
        <f>IFERROR(__xludf.DUMMYFUNCTION("IMPORTRANGE(""https://docs.google.com/spreadsheets/d/1SX6NBoVAgQJ6U1MVXOaj8PK2l7WJ3RER9xtqwdhxkhw/edit?usp=sharing"",""สุพรรณบุรี!J321"")"),0.0)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IFERROR(__xludf.DUMMYFUNCTION("IMPORTRANGE(""https://docs.google.com/spreadsheets/d/1SX6NBoVAgQJ6U1MVXOaj8PK2l7WJ3RER9xtqwdhxkhw/edit?usp=sharing"",""สุพรรณบุรี!I322"")"),30.0)</f>
        <v>30</v>
      </c>
      <c r="J427" s="426">
        <f>IFERROR(__xludf.DUMMYFUNCTION("IMPORTRANGE(""https://docs.google.com/spreadsheets/d/1SX6NBoVAgQJ6U1MVXOaj8PK2l7WJ3RER9xtqwdhxkhw/edit?usp=sharing"",""สุพรรณบุรี!J322"")"),0.0)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IFERROR(__xludf.DUMMYFUNCTION("IMPORTRANGE(""https://docs.google.com/spreadsheets/d/1SX6NBoVAgQJ6U1MVXOaj8PK2l7WJ3RER9xtqwdhxkhw/edit?usp=sharing"",""สุพรรณบุรี!I323"")"),10.0)</f>
        <v>10</v>
      </c>
      <c r="J428" s="427">
        <f>IFERROR(__xludf.DUMMYFUNCTION("IMPORTRANGE(""https://docs.google.com/spreadsheets/d/1SX6NBoVAgQJ6U1MVXOaj8PK2l7WJ3RER9xtqwdhxkhw/edit?usp=sharing"",""สุพรรณบุรี!J323"")"),0.0)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IFERROR(__xludf.DUMMYFUNCTION("IMPORTRANGE(""https://docs.google.com/spreadsheets/d/1SX6NBoVAgQJ6U1MVXOaj8PK2l7WJ3RER9xtqwdhxkhw/edit?usp=sharing"",""สุพรรณบุรี!I324"")"),10.0)</f>
        <v>10</v>
      </c>
      <c r="J429" s="427">
        <f>IFERROR(__xludf.DUMMYFUNCTION("IMPORTRANGE(""https://docs.google.com/spreadsheets/d/1SX6NBoVAgQJ6U1MVXOaj8PK2l7WJ3RER9xtqwdhxkhw/edit?usp=sharing"",""สุพรรณบุรี!J324"")"),0.0)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IFERROR(__xludf.DUMMYFUNCTION("IMPORTRANGE(""https://docs.google.com/spreadsheets/d/1SX6NBoVAgQJ6U1MVXOaj8PK2l7WJ3RER9xtqwdhxkhw/edit?usp=sharing"",""สุพรรณบุรี!I325"")"),50.0)</f>
        <v>50</v>
      </c>
      <c r="J430" s="425">
        <f>IFERROR(__xludf.DUMMYFUNCTION("IMPORTRANGE(""https://docs.google.com/spreadsheets/d/1SX6NBoVAgQJ6U1MVXOaj8PK2l7WJ3RER9xtqwdhxkhw/edit?usp=sharing"",""สุพรรณบุรี!J325"")"),0.0)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IFERROR(__xludf.DUMMYFUNCTION("IMPORTRANGE(""https://docs.google.com/spreadsheets/d/1SX6NBoVAgQJ6U1MVXOaj8PK2l7WJ3RER9xtqwdhxkhw/edit?usp=sharing"",""สุพรรณบุรี!I326"")"),0.0)</f>
        <v>0</v>
      </c>
      <c r="J431" s="427">
        <f>IFERROR(__xludf.DUMMYFUNCTION("IMPORTRANGE(""https://docs.google.com/spreadsheets/d/1SX6NBoVAgQJ6U1MVXOaj8PK2l7WJ3RER9xtqwdhxkhw/edit?usp=sharing"",""สุพรรณบุรี!J326"")"),0.0)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IFERROR(__xludf.DUMMYFUNCTION("IMPORTRANGE(""https://docs.google.com/spreadsheets/d/1SX6NBoVAgQJ6U1MVXOaj8PK2l7WJ3RER9xtqwdhxkhw/edit?usp=sharing"",""สุพรรณบุรี!I327"")"),50.0)</f>
        <v>50</v>
      </c>
      <c r="J432" s="427">
        <f>IFERROR(__xludf.DUMMYFUNCTION("IMPORTRANGE(""https://docs.google.com/spreadsheets/d/1SX6NBoVAgQJ6U1MVXOaj8PK2l7WJ3RER9xtqwdhxkhw/edit?usp=sharing"",""สุพรรณบุรี!J327"")"),0.0)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IFERROR(__xludf.DUMMYFUNCTION("IMPORTRANGE(""https://docs.google.com/spreadsheets/d/1SX6NBoVAgQJ6U1MVXOaj8PK2l7WJ3RER9xtqwdhxkhw/edit?usp=sharing"",""สุพรรณบุรี!J328"")"),0.0)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IFERROR(__xludf.DUMMYFUNCTION("IMPORTRANGE(""https://docs.google.com/spreadsheets/d/1SX6NBoVAgQJ6U1MVXOaj8PK2l7WJ3RER9xtqwdhxkhw/edit?usp=sharing"",""สุพรรณบุรี!J329"")"),0.0)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IFERROR(__xludf.DUMMYFUNCTION("IMPORTRANGE(""https://docs.google.com/spreadsheets/d/1SX6NBoVAgQJ6U1MVXOaj8PK2l7WJ3RER9xtqwdhxkhw/edit?usp=sharing"",""สุพรรณบุรี!I330"")"),45.0)</f>
        <v>45</v>
      </c>
      <c r="J435" s="443">
        <f>IFERROR(__xludf.DUMMYFUNCTION("IMPORTRANGE(""https://docs.google.com/spreadsheets/d/1SX6NBoVAgQJ6U1MVXOaj8PK2l7WJ3RER9xtqwdhxkhw/edit?usp=sharing"",""สุพรรณบุรี!J330"")"),1.0)</f>
        <v>1</v>
      </c>
      <c r="K435" s="444">
        <f>IF(I435&gt;0,J435*100/I435,0)</f>
        <v>2.222222222</v>
      </c>
      <c r="L435" s="445">
        <f>IFERROR(__xludf.DUMMYFUNCTION("IMPORTRANGE(""https://docs.google.com/spreadsheets/d/1SX6NBoVAgQJ6U1MVXOaj8PK2l7WJ3RER9xtqwdhxkhw/edit?usp=sharing"",""สุพรรณบุรี!L330"")"),143500.0)</f>
        <v>143500</v>
      </c>
      <c r="M435" s="445"/>
      <c r="N435" s="445">
        <f>IFERROR(__xludf.DUMMYFUNCTION("IMPORTRANGE(""https://docs.google.com/spreadsheets/d/1SX6NBoVAgQJ6U1MVXOaj8PK2l7WJ3RER9xtqwdhxkhw/edit?usp=sharing"",""สุพรรณบุรี!M330"")"),76760.0)</f>
        <v>76760</v>
      </c>
      <c r="O435" s="445">
        <f t="shared" ref="O435:O439" si="115">+IF(L435&gt;0,N435*100/L435,0)</f>
        <v>53.4912892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IFERROR(__xludf.DUMMYFUNCTION("IMPORTRANGE(""https://docs.google.com/spreadsheets/d/1SX6NBoVAgQJ6U1MVXOaj8PK2l7WJ3RER9xtqwdhxkhw/edit?usp=sharing"",""สุพรรณบุรี!L331"")"),0.0)</f>
        <v>0</v>
      </c>
      <c r="M436" s="197"/>
      <c r="N436" s="203">
        <f>IFERROR(__xludf.DUMMYFUNCTION("IMPORTRANGE(""https://docs.google.com/spreadsheets/d/1SX6NBoVAgQJ6U1MVXOaj8PK2l7WJ3RER9xtqwdhxkhw/edit?usp=sharing"",""สุพรรณบุรี!M331"")"),0.0)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IFERROR(__xludf.DUMMYFUNCTION("IMPORTRANGE(""https://docs.google.com/spreadsheets/d/1SX6NBoVAgQJ6U1MVXOaj8PK2l7WJ3RER9xtqwdhxkhw/edit?usp=sharing"",""สุพรรณบุรี!L332"")"),143500.0)</f>
        <v>143500</v>
      </c>
      <c r="M437" s="198"/>
      <c r="N437" s="203">
        <f>IFERROR(__xludf.DUMMYFUNCTION("IMPORTRANGE(""https://docs.google.com/spreadsheets/d/1SX6NBoVAgQJ6U1MVXOaj8PK2l7WJ3RER9xtqwdhxkhw/edit?usp=sharing"",""สุพรรณบุรี!M332"")"),76760.0)</f>
        <v>76760</v>
      </c>
      <c r="O437" s="203">
        <f t="shared" si="115"/>
        <v>53.4912892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IFERROR(__xludf.DUMMYFUNCTION("IMPORTRANGE(""https://docs.google.com/spreadsheets/d/1SX6NBoVAgQJ6U1MVXOaj8PK2l7WJ3RER9xtqwdhxkhw/edit?usp=sharing"",""สุพรรณบุรี!L333"")"),0.0)</f>
        <v>0</v>
      </c>
      <c r="M438" s="203"/>
      <c r="N438" s="203">
        <f>IFERROR(__xludf.DUMMYFUNCTION("IMPORTRANGE(""https://docs.google.com/spreadsheets/d/1SX6NBoVAgQJ6U1MVXOaj8PK2l7WJ3RER9xtqwdhxkhw/edit?usp=sharing"",""สุพรรณบุรี!M333"")"),0.0)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IFERROR(__xludf.DUMMYFUNCTION("IMPORTRANGE(""https://docs.google.com/spreadsheets/d/1SX6NBoVAgQJ6U1MVXOaj8PK2l7WJ3RER9xtqwdhxkhw/edit?usp=sharing"",""สุพรรณบุรี!L334"")"),143500.0)</f>
        <v>143500</v>
      </c>
      <c r="M439" s="203"/>
      <c r="N439" s="203">
        <f>IFERROR(__xludf.DUMMYFUNCTION("IMPORTRANGE(""https://docs.google.com/spreadsheets/d/1SX6NBoVAgQJ6U1MVXOaj8PK2l7WJ3RER9xtqwdhxkhw/edit?usp=sharing"",""สุพรรณบุรี!M334"")"),76760.0)</f>
        <v>76760</v>
      </c>
      <c r="O439" s="203">
        <f t="shared" si="115"/>
        <v>53.4912892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IFERROR(__xludf.DUMMYFUNCTION("IMPORTRANGE(""https://docs.google.com/spreadsheets/d/1SX6NBoVAgQJ6U1MVXOaj8PK2l7WJ3RER9xtqwdhxkhw/edit?usp=sharing"",""สุพรรณบุรี!M335"")"),38490.0)</f>
        <v>38490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IFERROR(__xludf.DUMMYFUNCTION("IMPORTRANGE(""https://docs.google.com/spreadsheets/d/1SX6NBoVAgQJ6U1MVXOaj8PK2l7WJ3RER9xtqwdhxkhw/edit?usp=sharing"",""สุพรรณบุรี!M336"")"),37450.0)</f>
        <v>37450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IFERROR(__xludf.DUMMYFUNCTION("IMPORTRANGE(""https://docs.google.com/spreadsheets/d/1SX6NBoVAgQJ6U1MVXOaj8PK2l7WJ3RER9xtqwdhxkhw/edit?usp=sharing"",""สุพรรณบุรี!M337"")"),0.0)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IFERROR(__xludf.DUMMYFUNCTION("IMPORTRANGE(""https://docs.google.com/spreadsheets/d/1SX6NBoVAgQJ6U1MVXOaj8PK2l7WJ3RER9xtqwdhxkhw/edit?usp=sharing"",""สุพรรณบุรี!M338"")"),820.0)</f>
        <v>820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IFERROR(__xludf.DUMMYFUNCTION("IMPORTRANGE(""https://docs.google.com/spreadsheets/d/1SX6NBoVAgQJ6U1MVXOaj8PK2l7WJ3RER9xtqwdhxkhw/edit?usp=sharing"",""สุพรรณบุรี!J340"")"),0.0)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IFERROR(__xludf.DUMMYFUNCTION("IMPORTRANGE(""https://docs.google.com/spreadsheets/d/1SX6NBoVAgQJ6U1MVXOaj8PK2l7WJ3RER9xtqwdhxkhw/edit?usp=sharing"",""สุพรรณบุรี!J341"")"),1.0)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IFERROR(__xludf.DUMMYFUNCTION("IMPORTRANGE(""https://docs.google.com/spreadsheets/d/1SX6NBoVAgQJ6U1MVXOaj8PK2l7WJ3RER9xtqwdhxkhw/edit?usp=sharing"",""สุพรรณบุรี!J342"")"),1.0)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IFERROR(__xludf.DUMMYFUNCTION("IMPORTRANGE(""https://docs.google.com/spreadsheets/d/1SX6NBoVAgQJ6U1MVXOaj8PK2l7WJ3RER9xtqwdhxkhw/edit?usp=sharing"",""สุพรรณบุรี!J343"")"),1.0)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IFERROR(__xludf.DUMMYFUNCTION("IMPORTRANGE(""https://docs.google.com/spreadsheets/d/1SX6NBoVAgQJ6U1MVXOaj8PK2l7WJ3RER9xtqwdhxkhw/edit?usp=sharing"",""สุพรรณบุรี!I344"")"),45.0)</f>
        <v>45</v>
      </c>
      <c r="J449" s="235">
        <f>IFERROR(__xludf.DUMMYFUNCTION("IMPORTRANGE(""https://docs.google.com/spreadsheets/d/1SX6NBoVAgQJ6U1MVXOaj8PK2l7WJ3RER9xtqwdhxkhw/edit?usp=sharing"",""สุพรรณบุรี!J344"")"),1.0)</f>
        <v>1</v>
      </c>
      <c r="K449" s="196">
        <f t="shared" ref="K449:K452" si="116">IF(I449&gt;0,J449*100/I449,0)</f>
        <v>2.222222222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IFERROR(__xludf.DUMMYFUNCTION("IMPORTRANGE(""https://docs.google.com/spreadsheets/d/1SX6NBoVAgQJ6U1MVXOaj8PK2l7WJ3RER9xtqwdhxkhw/edit?usp=sharing"",""สุพรรณบุรี!I345"")"),15.0)</f>
        <v>15</v>
      </c>
      <c r="J450" s="223">
        <f>IFERROR(__xludf.DUMMYFUNCTION("IMPORTRANGE(""https://docs.google.com/spreadsheets/d/1SX6NBoVAgQJ6U1MVXOaj8PK2l7WJ3RER9xtqwdhxkhw/edit?usp=sharing"",""สุพรรณบุรี!J345"")"),1.0)</f>
        <v>1</v>
      </c>
      <c r="K450" s="196">
        <f t="shared" si="116"/>
        <v>6.666666667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IFERROR(__xludf.DUMMYFUNCTION("IMPORTRANGE(""https://docs.google.com/spreadsheets/d/1SX6NBoVAgQJ6U1MVXOaj8PK2l7WJ3RER9xtqwdhxkhw/edit?usp=sharing"",""สุพรรณบุรี!I346"")"),30.0)</f>
        <v>30</v>
      </c>
      <c r="J451" s="222">
        <f>IFERROR(__xludf.DUMMYFUNCTION("IMPORTRANGE(""https://docs.google.com/spreadsheets/d/1SX6NBoVAgQJ6U1MVXOaj8PK2l7WJ3RER9xtqwdhxkhw/edit?usp=sharing"",""สุพรรณบุรี!J346"")"),0.0)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IFERROR(__xludf.DUMMYFUNCTION("IMPORTRANGE(""https://docs.google.com/spreadsheets/d/1SX6NBoVAgQJ6U1MVXOaj8PK2l7WJ3RER9xtqwdhxkhw/edit?usp=sharing"",""สุพรรณบุรี!I347"")"),0.0)</f>
        <v>0</v>
      </c>
      <c r="J452" s="222">
        <f>IFERROR(__xludf.DUMMYFUNCTION("IMPORTRANGE(""https://docs.google.com/spreadsheets/d/1SX6NBoVAgQJ6U1MVXOaj8PK2l7WJ3RER9xtqwdhxkhw/edit?usp=sharing"",""สุพรรณบุรี!J347"")"),0.0)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IFERROR(__xludf.DUMMYFUNCTION("IMPORTRANGE(""https://docs.google.com/spreadsheets/d/1SX6NBoVAgQJ6U1MVXOaj8PK2l7WJ3RER9xtqwdhxkhw/edit?usp=sharing"",""สุพรรณบุรี!J348"")"),0.0)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IFERROR(__xludf.DUMMYFUNCTION("IMPORTRANGE(""https://docs.google.com/spreadsheets/d/1SX6NBoVAgQJ6U1MVXOaj8PK2l7WJ3RER9xtqwdhxkhw/edit?usp=sharing"",""สุพรรณบุรี!J349"")"),0.0)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IFERROR(__xludf.DUMMYFUNCTION("IMPORTRANGE(""https://docs.google.com/spreadsheets/d/1SX6NBoVAgQJ6U1MVXOaj8PK2l7WJ3RER9xtqwdhxkhw/edit?usp=sharing"",""สุพรรณบุรี!I350"")"),35175.0)</f>
        <v>35175</v>
      </c>
      <c r="J455" s="404">
        <f>IFERROR(__xludf.DUMMYFUNCTION("IMPORTRANGE(""https://docs.google.com/spreadsheets/d/1SX6NBoVAgQJ6U1MVXOaj8PK2l7WJ3RER9xtqwdhxkhw/edit?usp=sharing"",""สุพรรณบุรี!J350"")"),0.0)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IFERROR(__xludf.DUMMYFUNCTION("IMPORTRANGE(""https://docs.google.com/spreadsheets/d/1SX6NBoVAgQJ6U1MVXOaj8PK2l7WJ3RER9xtqwdhxkhw/edit?usp=sharing"",""สุพรรณบุรี!L350"")"),473295.0)</f>
        <v>473295</v>
      </c>
      <c r="M455" s="406"/>
      <c r="N455" s="406">
        <f>IFERROR(__xludf.DUMMYFUNCTION("IMPORTRANGE(""https://docs.google.com/spreadsheets/d/1SX6NBoVAgQJ6U1MVXOaj8PK2l7WJ3RER9xtqwdhxkhw/edit?usp=sharing"",""สุพรรณบุรี!M350"")"),34838.73)</f>
        <v>34838.73</v>
      </c>
      <c r="O455" s="406">
        <f t="shared" ref="O455:O459" si="117">+IF(L455&gt;0,N455*100/L455,0)</f>
        <v>7.360891199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IFERROR(__xludf.DUMMYFUNCTION("IMPORTRANGE(""https://docs.google.com/spreadsheets/d/1SX6NBoVAgQJ6U1MVXOaj8PK2l7WJ3RER9xtqwdhxkhw/edit?usp=sharing"",""สุพรรณบุรี!L351"")"),0.0)</f>
        <v>0</v>
      </c>
      <c r="M456" s="197"/>
      <c r="N456" s="203">
        <f>IFERROR(__xludf.DUMMYFUNCTION("IMPORTRANGE(""https://docs.google.com/spreadsheets/d/1SX6NBoVAgQJ6U1MVXOaj8PK2l7WJ3RER9xtqwdhxkhw/edit?usp=sharing"",""สุพรรณบุรี!M351"")"),0.0)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IFERROR(__xludf.DUMMYFUNCTION("IMPORTRANGE(""https://docs.google.com/spreadsheets/d/1SX6NBoVAgQJ6U1MVXOaj8PK2l7WJ3RER9xtqwdhxkhw/edit?usp=sharing"",""สุพรรณบุรี!L352"")"),473295.0)</f>
        <v>473295</v>
      </c>
      <c r="M457" s="198"/>
      <c r="N457" s="203">
        <f>IFERROR(__xludf.DUMMYFUNCTION("IMPORTRANGE(""https://docs.google.com/spreadsheets/d/1SX6NBoVAgQJ6U1MVXOaj8PK2l7WJ3RER9xtqwdhxkhw/edit?usp=sharing"",""สุพรรณบุรี!M352"")"),34838.73)</f>
        <v>34838.73</v>
      </c>
      <c r="O457" s="203">
        <f t="shared" si="117"/>
        <v>7.360891199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IFERROR(__xludf.DUMMYFUNCTION("IMPORTRANGE(""https://docs.google.com/spreadsheets/d/1SX6NBoVAgQJ6U1MVXOaj8PK2l7WJ3RER9xtqwdhxkhw/edit?usp=sharing"",""สุพรรณบุรี!L353"")"),0.0)</f>
        <v>0</v>
      </c>
      <c r="M458" s="203"/>
      <c r="N458" s="203">
        <f>IFERROR(__xludf.DUMMYFUNCTION("IMPORTRANGE(""https://docs.google.com/spreadsheets/d/1SX6NBoVAgQJ6U1MVXOaj8PK2l7WJ3RER9xtqwdhxkhw/edit?usp=sharing"",""สุพรรณบุรี!M353"")"),0.0)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IFERROR(__xludf.DUMMYFUNCTION("IMPORTRANGE(""https://docs.google.com/spreadsheets/d/1SX6NBoVAgQJ6U1MVXOaj8PK2l7WJ3RER9xtqwdhxkhw/edit?usp=sharing"",""สุพรรณบุรี!L354"")"),473295.0)</f>
        <v>473295</v>
      </c>
      <c r="M459" s="203"/>
      <c r="N459" s="203">
        <f>IFERROR(__xludf.DUMMYFUNCTION("IMPORTRANGE(""https://docs.google.com/spreadsheets/d/1SX6NBoVAgQJ6U1MVXOaj8PK2l7WJ3RER9xtqwdhxkhw/edit?usp=sharing"",""สุพรรณบุรี!M354"")"),34838.73)</f>
        <v>34838.73</v>
      </c>
      <c r="O459" s="203">
        <f t="shared" si="117"/>
        <v>7.360891199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IFERROR(__xludf.DUMMYFUNCTION("IMPORTRANGE(""https://docs.google.com/spreadsheets/d/1SX6NBoVAgQJ6U1MVXOaj8PK2l7WJ3RER9xtqwdhxkhw/edit?usp=sharing"",""สุพรรณบุรี!M355"")"),0.0)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IFERROR(__xludf.DUMMYFUNCTION("IMPORTRANGE(""https://docs.google.com/spreadsheets/d/1SX6NBoVAgQJ6U1MVXOaj8PK2l7WJ3RER9xtqwdhxkhw/edit?usp=sharing"",""สุพรรณบุรี!M356"")"),0.0)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IFERROR(__xludf.DUMMYFUNCTION("IMPORTRANGE(""https://docs.google.com/spreadsheets/d/1SX6NBoVAgQJ6U1MVXOaj8PK2l7WJ3RER9xtqwdhxkhw/edit?usp=sharing"",""สุพรรณบุรี!M357"")"),34838.73)</f>
        <v>34838.73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IFERROR(__xludf.DUMMYFUNCTION("IMPORTRANGE(""https://docs.google.com/spreadsheets/d/1SX6NBoVAgQJ6U1MVXOaj8PK2l7WJ3RER9xtqwdhxkhw/edit?usp=sharing"",""สุพรรณบุรี!M358"")"),0.0)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IFERROR(__xludf.DUMMYFUNCTION("IMPORTRANGE(""https://docs.google.com/spreadsheets/d/1SX6NBoVAgQJ6U1MVXOaj8PK2l7WJ3RER9xtqwdhxkhw/edit?usp=sharing"",""สุพรรณบุรี!I359"")"),35175.0)</f>
        <v>35175</v>
      </c>
      <c r="J464" s="301">
        <f>IFERROR(__xludf.DUMMYFUNCTION("IMPORTRANGE(""https://docs.google.com/spreadsheets/d/1SX6NBoVAgQJ6U1MVXOaj8PK2l7WJ3RER9xtqwdhxkhw/edit?usp=sharing"",""สุพรรณบุรี!J359"")"),0.0)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IFERROR(__xludf.DUMMYFUNCTION("IMPORTRANGE(""https://docs.google.com/spreadsheets/d/1SX6NBoVAgQJ6U1MVXOaj8PK2l7WJ3RER9xtqwdhxkhw/edit?usp=sharing"",""สุพรรณบุรี!I360"")"),35175.0)</f>
        <v>35175</v>
      </c>
      <c r="J465" s="453">
        <f>IFERROR(__xludf.DUMMYFUNCTION("IMPORTRANGE(""https://docs.google.com/spreadsheets/d/1SX6NBoVAgQJ6U1MVXOaj8PK2l7WJ3RER9xtqwdhxkhw/edit?usp=sharing"",""สุพรรณบุรี!J360"")"),0.0)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IFERROR(__xludf.DUMMYFUNCTION("IMPORTRANGE(""https://docs.google.com/spreadsheets/d/1SX6NBoVAgQJ6U1MVXOaj8PK2l7WJ3RER9xtqwdhxkhw/edit?usp=sharing"",""สุพรรณบุรี!I361"")"),5113.0)</f>
        <v>5113</v>
      </c>
      <c r="J466" s="453">
        <f>IFERROR(__xludf.DUMMYFUNCTION("IMPORTRANGE(""https://docs.google.com/spreadsheets/d/1SX6NBoVAgQJ6U1MVXOaj8PK2l7WJ3RER9xtqwdhxkhw/edit?usp=sharing"",""สุพรรณบุรี!J361"")"),0.0)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IFERROR(__xludf.DUMMYFUNCTION("IMPORTRANGE(""https://docs.google.com/spreadsheets/d/1SX6NBoVAgQJ6U1MVXOaj8PK2l7WJ3RER9xtqwdhxkhw/edit?usp=sharing"",""สุพรรณบุรี!I362"")"),0.0)</f>
        <v>0</v>
      </c>
      <c r="J467" s="223">
        <f>IFERROR(__xludf.DUMMYFUNCTION("IMPORTRANGE(""https://docs.google.com/spreadsheets/d/1SX6NBoVAgQJ6U1MVXOaj8PK2l7WJ3RER9xtqwdhxkhw/edit?usp=sharing"",""สุพรรณบุรี!J362"")"),0.0)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IFERROR(__xludf.DUMMYFUNCTION("IMPORTRANGE(""https://docs.google.com/spreadsheets/d/1SX6NBoVAgQJ6U1MVXOaj8PK2l7WJ3RER9xtqwdhxkhw/edit?usp=sharing"",""สุพรรณบุรี!I363"")"),0.0)</f>
        <v>0</v>
      </c>
      <c r="J468" s="223">
        <f>IFERROR(__xludf.DUMMYFUNCTION("IMPORTRANGE(""https://docs.google.com/spreadsheets/d/1SX6NBoVAgQJ6U1MVXOaj8PK2l7WJ3RER9xtqwdhxkhw/edit?usp=sharing"",""สุพรรณบุรี!J363"")"),0.0)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IFERROR(__xludf.DUMMYFUNCTION("IMPORTRANGE(""https://docs.google.com/spreadsheets/d/1SX6NBoVAgQJ6U1MVXOaj8PK2l7WJ3RER9xtqwdhxkhw/edit?usp=sharing"",""สุพรรณบุรี!I364"")"),0.0)</f>
        <v>0</v>
      </c>
      <c r="J469" s="223">
        <f>IFERROR(__xludf.DUMMYFUNCTION("IMPORTRANGE(""https://docs.google.com/spreadsheets/d/1SX6NBoVAgQJ6U1MVXOaj8PK2l7WJ3RER9xtqwdhxkhw/edit?usp=sharing"",""สุพรรณบุรี!J364"")"),0.0)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IFERROR(__xludf.DUMMYFUNCTION("IMPORTRANGE(""https://docs.google.com/spreadsheets/d/1SX6NBoVAgQJ6U1MVXOaj8PK2l7WJ3RER9xtqwdhxkhw/edit?usp=sharing"",""สุพรรณบุรี!I365"")"),0.0)</f>
        <v>0</v>
      </c>
      <c r="J470" s="223">
        <f>IFERROR(__xludf.DUMMYFUNCTION("IMPORTRANGE(""https://docs.google.com/spreadsheets/d/1SX6NBoVAgQJ6U1MVXOaj8PK2l7WJ3RER9xtqwdhxkhw/edit?usp=sharing"",""สุพรรณบุรี!J365"")"),0.0)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IFERROR(__xludf.DUMMYFUNCTION("IMPORTRANGE(""https://docs.google.com/spreadsheets/d/1SX6NBoVAgQJ6U1MVXOaj8PK2l7WJ3RER9xtqwdhxkhw/edit?usp=sharing"",""สุพรรณบุรี!I366"")"),0.0)</f>
        <v>0</v>
      </c>
      <c r="J471" s="223">
        <f>IFERROR(__xludf.DUMMYFUNCTION("IMPORTRANGE(""https://docs.google.com/spreadsheets/d/1SX6NBoVAgQJ6U1MVXOaj8PK2l7WJ3RER9xtqwdhxkhw/edit?usp=sharing"",""สุพรรณบุรี!J366"")"),0.0)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IFERROR(__xludf.DUMMYFUNCTION("IMPORTRANGE(""https://docs.google.com/spreadsheets/d/1SX6NBoVAgQJ6U1MVXOaj8PK2l7WJ3RER9xtqwdhxkhw/edit?usp=sharing"",""สุพรรณบุรี!I367"")"),0.0)</f>
        <v>0</v>
      </c>
      <c r="J472" s="223">
        <f>IFERROR(__xludf.DUMMYFUNCTION("IMPORTRANGE(""https://docs.google.com/spreadsheets/d/1SX6NBoVAgQJ6U1MVXOaj8PK2l7WJ3RER9xtqwdhxkhw/edit?usp=sharing"",""สุพรรณบุรี!J367"")"),0.0)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IFERROR(__xludf.DUMMYFUNCTION("IMPORTRANGE(""https://docs.google.com/spreadsheets/d/1SX6NBoVAgQJ6U1MVXOaj8PK2l7WJ3RER9xtqwdhxkhw/edit?usp=sharing"",""สุพรรณบุรี!I368"")"),35175.0)</f>
        <v>35175</v>
      </c>
      <c r="J473" s="453">
        <f>IFERROR(__xludf.DUMMYFUNCTION("IMPORTRANGE(""https://docs.google.com/spreadsheets/d/1SX6NBoVAgQJ6U1MVXOaj8PK2l7WJ3RER9xtqwdhxkhw/edit?usp=sharing"",""สุพรรณบุรี!J368"")"),0.0)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IFERROR(__xludf.DUMMYFUNCTION("IMPORTRANGE(""https://docs.google.com/spreadsheets/d/1SX6NBoVAgQJ6U1MVXOaj8PK2l7WJ3RER9xtqwdhxkhw/edit?usp=sharing"",""สุพรรณบุรี!I369"")"),5113.0)</f>
        <v>5113</v>
      </c>
      <c r="J474" s="453">
        <f>IFERROR(__xludf.DUMMYFUNCTION("IMPORTRANGE(""https://docs.google.com/spreadsheets/d/1SX6NBoVAgQJ6U1MVXOaj8PK2l7WJ3RER9xtqwdhxkhw/edit?usp=sharing"",""สุพรรณบุรี!J369"")"),0.0)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IFERROR(__xludf.DUMMYFUNCTION("IMPORTRANGE(""https://docs.google.com/spreadsheets/d/1SX6NBoVAgQJ6U1MVXOaj8PK2l7WJ3RER9xtqwdhxkhw/edit?usp=sharing"",""สุพรรณบุรี!I370"")"),0.0)</f>
        <v>0</v>
      </c>
      <c r="J475" s="223">
        <f>IFERROR(__xludf.DUMMYFUNCTION("IMPORTRANGE(""https://docs.google.com/spreadsheets/d/1SX6NBoVAgQJ6U1MVXOaj8PK2l7WJ3RER9xtqwdhxkhw/edit?usp=sharing"",""สุพรรณบุรี!J370"")"),0.0)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IFERROR(__xludf.DUMMYFUNCTION("IMPORTRANGE(""https://docs.google.com/spreadsheets/d/1SX6NBoVAgQJ6U1MVXOaj8PK2l7WJ3RER9xtqwdhxkhw/edit?usp=sharing"",""สุพรรณบุรี!I371"")"),0.0)</f>
        <v>0</v>
      </c>
      <c r="J476" s="223">
        <f>IFERROR(__xludf.DUMMYFUNCTION("IMPORTRANGE(""https://docs.google.com/spreadsheets/d/1SX6NBoVAgQJ6U1MVXOaj8PK2l7WJ3RER9xtqwdhxkhw/edit?usp=sharing"",""สุพรรณบุรี!J371"")"),0.0)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IFERROR(__xludf.DUMMYFUNCTION("IMPORTRANGE(""https://docs.google.com/spreadsheets/d/1SX6NBoVAgQJ6U1MVXOaj8PK2l7WJ3RER9xtqwdhxkhw/edit?usp=sharing"",""สุพรรณบุรี!I372"")"),0.0)</f>
        <v>0</v>
      </c>
      <c r="J477" s="223">
        <f>IFERROR(__xludf.DUMMYFUNCTION("IMPORTRANGE(""https://docs.google.com/spreadsheets/d/1SX6NBoVAgQJ6U1MVXOaj8PK2l7WJ3RER9xtqwdhxkhw/edit?usp=sharing"",""สุพรรณบุรี!J372"")"),0.0)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IFERROR(__xludf.DUMMYFUNCTION("IMPORTRANGE(""https://docs.google.com/spreadsheets/d/1SX6NBoVAgQJ6U1MVXOaj8PK2l7WJ3RER9xtqwdhxkhw/edit?usp=sharing"",""สุพรรณบุรี!I373"")"),0.0)</f>
        <v>0</v>
      </c>
      <c r="J478" s="223">
        <f>IFERROR(__xludf.DUMMYFUNCTION("IMPORTRANGE(""https://docs.google.com/spreadsheets/d/1SX6NBoVAgQJ6U1MVXOaj8PK2l7WJ3RER9xtqwdhxkhw/edit?usp=sharing"",""สุพรรณบุรี!J373"")"),0.0)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IFERROR(__xludf.DUMMYFUNCTION("IMPORTRANGE(""https://docs.google.com/spreadsheets/d/1SX6NBoVAgQJ6U1MVXOaj8PK2l7WJ3RER9xtqwdhxkhw/edit?usp=sharing"",""สุพรรณบุรี!I374"")"),0.0)</f>
        <v>0</v>
      </c>
      <c r="J479" s="223">
        <f>IFERROR(__xludf.DUMMYFUNCTION("IMPORTRANGE(""https://docs.google.com/spreadsheets/d/1SX6NBoVAgQJ6U1MVXOaj8PK2l7WJ3RER9xtqwdhxkhw/edit?usp=sharing"",""สุพรรณบุรี!J374"")"),0.0)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IFERROR(__xludf.DUMMYFUNCTION("IMPORTRANGE(""https://docs.google.com/spreadsheets/d/1SX6NBoVAgQJ6U1MVXOaj8PK2l7WJ3RER9xtqwdhxkhw/edit?usp=sharing"",""สุพรรณบุรี!I375"")"),0.0)</f>
        <v>0</v>
      </c>
      <c r="J480" s="223">
        <f>IFERROR(__xludf.DUMMYFUNCTION("IMPORTRANGE(""https://docs.google.com/spreadsheets/d/1SX6NBoVAgQJ6U1MVXOaj8PK2l7WJ3RER9xtqwdhxkhw/edit?usp=sharing"",""สุพรรณบุรี!J375"")"),0.0)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IFERROR(__xludf.DUMMYFUNCTION("IMPORTRANGE(""https://docs.google.com/spreadsheets/d/1SX6NBoVAgQJ6U1MVXOaj8PK2l7WJ3RER9xtqwdhxkhw/edit?usp=sharing"",""สุพรรณบุรี!I376"")"),35175.0)</f>
        <v>35175</v>
      </c>
      <c r="J481" s="453">
        <f>IFERROR(__xludf.DUMMYFUNCTION("IMPORTRANGE(""https://docs.google.com/spreadsheets/d/1SX6NBoVAgQJ6U1MVXOaj8PK2l7WJ3RER9xtqwdhxkhw/edit?usp=sharing"",""สุพรรณบุรี!J376"")"),0.0)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IFERROR(__xludf.DUMMYFUNCTION("IMPORTRANGE(""https://docs.google.com/spreadsheets/d/1SX6NBoVAgQJ6U1MVXOaj8PK2l7WJ3RER9xtqwdhxkhw/edit?usp=sharing"",""สุพรรณบุรี!I377"")"),5113.0)</f>
        <v>5113</v>
      </c>
      <c r="J482" s="453">
        <f>IFERROR(__xludf.DUMMYFUNCTION("IMPORTRANGE(""https://docs.google.com/spreadsheets/d/1SX6NBoVAgQJ6U1MVXOaj8PK2l7WJ3RER9xtqwdhxkhw/edit?usp=sharing"",""สุพรรณบุรี!J377"")"),0.0)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IFERROR(__xludf.DUMMYFUNCTION("IMPORTRANGE(""https://docs.google.com/spreadsheets/d/1SX6NBoVAgQJ6U1MVXOaj8PK2l7WJ3RER9xtqwdhxkhw/edit?usp=sharing"",""สุพรรณบุรี!I378"")"),0.0)</f>
        <v>0</v>
      </c>
      <c r="J483" s="223">
        <f>IFERROR(__xludf.DUMMYFUNCTION("IMPORTRANGE(""https://docs.google.com/spreadsheets/d/1SX6NBoVAgQJ6U1MVXOaj8PK2l7WJ3RER9xtqwdhxkhw/edit?usp=sharing"",""สุพรรณบุรี!J378"")"),0.0)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IFERROR(__xludf.DUMMYFUNCTION("IMPORTRANGE(""https://docs.google.com/spreadsheets/d/1SX6NBoVAgQJ6U1MVXOaj8PK2l7WJ3RER9xtqwdhxkhw/edit?usp=sharing"",""สุพรรณบุรี!I379"")"),0.0)</f>
        <v>0</v>
      </c>
      <c r="J484" s="223">
        <f>IFERROR(__xludf.DUMMYFUNCTION("IMPORTRANGE(""https://docs.google.com/spreadsheets/d/1SX6NBoVAgQJ6U1MVXOaj8PK2l7WJ3RER9xtqwdhxkhw/edit?usp=sharing"",""สุพรรณบุรี!J379"")"),0.0)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IFERROR(__xludf.DUMMYFUNCTION("IMPORTRANGE(""https://docs.google.com/spreadsheets/d/1SX6NBoVAgQJ6U1MVXOaj8PK2l7WJ3RER9xtqwdhxkhw/edit?usp=sharing"",""สุพรรณบุรี!I380"")"),0.0)</f>
        <v>0</v>
      </c>
      <c r="J485" s="223">
        <f>IFERROR(__xludf.DUMMYFUNCTION("IMPORTRANGE(""https://docs.google.com/spreadsheets/d/1SX6NBoVAgQJ6U1MVXOaj8PK2l7WJ3RER9xtqwdhxkhw/edit?usp=sharing"",""สุพรรณบุรี!J380"")"),0.0)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IFERROR(__xludf.DUMMYFUNCTION("IMPORTRANGE(""https://docs.google.com/spreadsheets/d/1SX6NBoVAgQJ6U1MVXOaj8PK2l7WJ3RER9xtqwdhxkhw/edit?usp=sharing"",""สุพรรณบุรี!I381"")"),0.0)</f>
        <v>0</v>
      </c>
      <c r="J486" s="223">
        <f>IFERROR(__xludf.DUMMYFUNCTION("IMPORTRANGE(""https://docs.google.com/spreadsheets/d/1SX6NBoVAgQJ6U1MVXOaj8PK2l7WJ3RER9xtqwdhxkhw/edit?usp=sharing"",""สุพรรณบุรี!J381"")"),0.0)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IFERROR(__xludf.DUMMYFUNCTION("IMPORTRANGE(""https://docs.google.com/spreadsheets/d/1SX6NBoVAgQJ6U1MVXOaj8PK2l7WJ3RER9xtqwdhxkhw/edit?usp=sharing"",""สุพรรณบุรี!I382"")"),0.0)</f>
        <v>0</v>
      </c>
      <c r="J487" s="453">
        <f>IFERROR(__xludf.DUMMYFUNCTION("IMPORTRANGE(""https://docs.google.com/spreadsheets/d/1SX6NBoVAgQJ6U1MVXOaj8PK2l7WJ3RER9xtqwdhxkhw/edit?usp=sharing"",""สุพรรณบุรี!J382"")"),0.0)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IFERROR(__xludf.DUMMYFUNCTION("IMPORTRANGE(""https://docs.google.com/spreadsheets/d/1SX6NBoVAgQJ6U1MVXOaj8PK2l7WJ3RER9xtqwdhxkhw/edit?usp=sharing"",""สุพรรณบุรี!I383"")"),0.0)</f>
        <v>0</v>
      </c>
      <c r="J488" s="453">
        <f>IFERROR(__xludf.DUMMYFUNCTION("IMPORTRANGE(""https://docs.google.com/spreadsheets/d/1SX6NBoVAgQJ6U1MVXOaj8PK2l7WJ3RER9xtqwdhxkhw/edit?usp=sharing"",""สุพรรณบุรี!J383"")"),0.0)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IFERROR(__xludf.DUMMYFUNCTION("IMPORTRANGE(""https://docs.google.com/spreadsheets/d/1SX6NBoVAgQJ6U1MVXOaj8PK2l7WJ3RER9xtqwdhxkhw/edit?usp=sharing"",""สุพรรณบุรี!I384"")"),0.0)</f>
        <v>0</v>
      </c>
      <c r="J489" s="223">
        <f>IFERROR(__xludf.DUMMYFUNCTION("IMPORTRANGE(""https://docs.google.com/spreadsheets/d/1SX6NBoVAgQJ6U1MVXOaj8PK2l7WJ3RER9xtqwdhxkhw/edit?usp=sharing"",""สุพรรณบุรี!J384"")"),0.0)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IFERROR(__xludf.DUMMYFUNCTION("IMPORTRANGE(""https://docs.google.com/spreadsheets/d/1SX6NBoVAgQJ6U1MVXOaj8PK2l7WJ3RER9xtqwdhxkhw/edit?usp=sharing"",""สุพรรณบุรี!I385"")"),0.0)</f>
        <v>0</v>
      </c>
      <c r="J490" s="223">
        <f>IFERROR(__xludf.DUMMYFUNCTION("IMPORTRANGE(""https://docs.google.com/spreadsheets/d/1SX6NBoVAgQJ6U1MVXOaj8PK2l7WJ3RER9xtqwdhxkhw/edit?usp=sharing"",""สุพรรณบุรี!J385"")"),0.0)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IFERROR(__xludf.DUMMYFUNCTION("IMPORTRANGE(""https://docs.google.com/spreadsheets/d/1SX6NBoVAgQJ6U1MVXOaj8PK2l7WJ3RER9xtqwdhxkhw/edit?usp=sharing"",""สุพรรณบุรี!I386"")"),0.0)</f>
        <v>0</v>
      </c>
      <c r="J491" s="223">
        <f>IFERROR(__xludf.DUMMYFUNCTION("IMPORTRANGE(""https://docs.google.com/spreadsheets/d/1SX6NBoVAgQJ6U1MVXOaj8PK2l7WJ3RER9xtqwdhxkhw/edit?usp=sharing"",""สุพรรณบุรี!J386"")"),0.0)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IFERROR(__xludf.DUMMYFUNCTION("IMPORTRANGE(""https://docs.google.com/spreadsheets/d/1SX6NBoVAgQJ6U1MVXOaj8PK2l7WJ3RER9xtqwdhxkhw/edit?usp=sharing"",""สุพรรณบุรี!I387"")"),0.0)</f>
        <v>0</v>
      </c>
      <c r="J492" s="223">
        <f>IFERROR(__xludf.DUMMYFUNCTION("IMPORTRANGE(""https://docs.google.com/spreadsheets/d/1SX6NBoVAgQJ6U1MVXOaj8PK2l7WJ3RER9xtqwdhxkhw/edit?usp=sharing"",""สุพรรณบุรี!J387"")"),0.0)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IFERROR(__xludf.DUMMYFUNCTION("IMPORTRANGE(""https://docs.google.com/spreadsheets/d/1SX6NBoVAgQJ6U1MVXOaj8PK2l7WJ3RER9xtqwdhxkhw/edit?usp=sharing"",""สุพรรณบุรี!I388"")"),0.0)</f>
        <v>0</v>
      </c>
      <c r="J493" s="223">
        <f>IFERROR(__xludf.DUMMYFUNCTION("IMPORTRANGE(""https://docs.google.com/spreadsheets/d/1SX6NBoVAgQJ6U1MVXOaj8PK2l7WJ3RER9xtqwdhxkhw/edit?usp=sharing"",""สุพรรณบุรี!J388"")"),0.0)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IFERROR(__xludf.DUMMYFUNCTION("IMPORTRANGE(""https://docs.google.com/spreadsheets/d/1SX6NBoVAgQJ6U1MVXOaj8PK2l7WJ3RER9xtqwdhxkhw/edit?usp=sharing"",""สุพรรณบุรี!I389"")"),0.0)</f>
        <v>0</v>
      </c>
      <c r="J494" s="469">
        <f>IFERROR(__xludf.DUMMYFUNCTION("IMPORTRANGE(""https://docs.google.com/spreadsheets/d/1SX6NBoVAgQJ6U1MVXOaj8PK2l7WJ3RER9xtqwdhxkhw/edit?usp=sharing"",""สุพรรณบุรี!J389"")"),0.0)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IFERROR(__xludf.DUMMYFUNCTION("IMPORTRANGE(""https://docs.google.com/spreadsheets/d/1SX6NBoVAgQJ6U1MVXOaj8PK2l7WJ3RER9xtqwdhxkhw/edit?usp=sharing"",""สุพรรณบุรี!I390"")"),0.0)</f>
        <v>0</v>
      </c>
      <c r="J495" s="469">
        <f>IFERROR(__xludf.DUMMYFUNCTION("IMPORTRANGE(""https://docs.google.com/spreadsheets/d/1SX6NBoVAgQJ6U1MVXOaj8PK2l7WJ3RER9xtqwdhxkhw/edit?usp=sharing"",""สุพรรณบุรี!J390"")"),0.0)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IFERROR(__xludf.DUMMYFUNCTION("IMPORTRANGE(""https://docs.google.com/spreadsheets/d/1SX6NBoVAgQJ6U1MVXOaj8PK2l7WJ3RER9xtqwdhxkhw/edit?usp=sharing"",""สุพรรณบุรี!I391"")"),0.0)</f>
        <v>0</v>
      </c>
      <c r="J496" s="469">
        <f>IFERROR(__xludf.DUMMYFUNCTION("IMPORTRANGE(""https://docs.google.com/spreadsheets/d/1SX6NBoVAgQJ6U1MVXOaj8PK2l7WJ3RER9xtqwdhxkhw/edit?usp=sharing"",""สุพรรณบุรี!J391"")"),0.0)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IFERROR(__xludf.DUMMYFUNCTION("IMPORTRANGE(""https://docs.google.com/spreadsheets/d/1SX6NBoVAgQJ6U1MVXOaj8PK2l7WJ3RER9xtqwdhxkhw/edit?usp=sharing"",""สุพรรณบุรี!I392"")"),4259.0)</f>
        <v>4259</v>
      </c>
      <c r="J497" s="476">
        <f>IFERROR(__xludf.DUMMYFUNCTION("IMPORTRANGE(""https://docs.google.com/spreadsheets/d/1SX6NBoVAgQJ6U1MVXOaj8PK2l7WJ3RER9xtqwdhxkhw/edit?usp=sharing"",""สุพรรณบุรี!J392"")"),0.0)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IFERROR(__xludf.DUMMYFUNCTION("IMPORTRANGE(""https://docs.google.com/spreadsheets/d/1SX6NBoVAgQJ6U1MVXOaj8PK2l7WJ3RER9xtqwdhxkhw/edit?usp=sharing"",""สุพรรณบุรี!I393"")"),4259.0)</f>
        <v>4259</v>
      </c>
      <c r="J498" s="453">
        <f>IFERROR(__xludf.DUMMYFUNCTION("IMPORTRANGE(""https://docs.google.com/spreadsheets/d/1SX6NBoVAgQJ6U1MVXOaj8PK2l7WJ3RER9xtqwdhxkhw/edit?usp=sharing"",""สุพรรณบุรี!J393"")"),0.0)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IFERROR(__xludf.DUMMYFUNCTION("IMPORTRANGE(""https://docs.google.com/spreadsheets/d/1SX6NBoVAgQJ6U1MVXOaj8PK2l7WJ3RER9xtqwdhxkhw/edit?usp=sharing"",""สุพรรณบุรี!I394"")"),318.0)</f>
        <v>318</v>
      </c>
      <c r="J499" s="453">
        <f>IFERROR(__xludf.DUMMYFUNCTION("IMPORTRANGE(""https://docs.google.com/spreadsheets/d/1SX6NBoVAgQJ6U1MVXOaj8PK2l7WJ3RER9xtqwdhxkhw/edit?usp=sharing"",""สุพรรณบุรี!J394"")"),0.0)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IFERROR(__xludf.DUMMYFUNCTION("IMPORTRANGE(""https://docs.google.com/spreadsheets/d/1SX6NBoVAgQJ6U1MVXOaj8PK2l7WJ3RER9xtqwdhxkhw/edit?usp=sharing"",""สุพรรณบุรี!I395"")"),0.0)</f>
        <v>0</v>
      </c>
      <c r="J500" s="195">
        <f>IFERROR(__xludf.DUMMYFUNCTION("IMPORTRANGE(""https://docs.google.com/spreadsheets/d/1SX6NBoVAgQJ6U1MVXOaj8PK2l7WJ3RER9xtqwdhxkhw/edit?usp=sharing"",""สุพรรณบุรี!J395"")"),0.0)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IFERROR(__xludf.DUMMYFUNCTION("IMPORTRANGE(""https://docs.google.com/spreadsheets/d/1SX6NBoVAgQJ6U1MVXOaj8PK2l7WJ3RER9xtqwdhxkhw/edit?usp=sharing"",""สุพรรณบุรี!I396"")"),0.0)</f>
        <v>0</v>
      </c>
      <c r="J501" s="195">
        <f>IFERROR(__xludf.DUMMYFUNCTION("IMPORTRANGE(""https://docs.google.com/spreadsheets/d/1SX6NBoVAgQJ6U1MVXOaj8PK2l7WJ3RER9xtqwdhxkhw/edit?usp=sharing"",""สุพรรณบุรี!J396"")"),0.0)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IFERROR(__xludf.DUMMYFUNCTION("IMPORTRANGE(""https://docs.google.com/spreadsheets/d/1SX6NBoVAgQJ6U1MVXOaj8PK2l7WJ3RER9xtqwdhxkhw/edit?usp=sharing"",""สุพรรณบุรี!I397"")"),0.0)</f>
        <v>0</v>
      </c>
      <c r="J502" s="223">
        <f>IFERROR(__xludf.DUMMYFUNCTION("IMPORTRANGE(""https://docs.google.com/spreadsheets/d/1SX6NBoVAgQJ6U1MVXOaj8PK2l7WJ3RER9xtqwdhxkhw/edit?usp=sharing"",""สุพรรณบุรี!J397"")"),0.0)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IFERROR(__xludf.DUMMYFUNCTION("IMPORTRANGE(""https://docs.google.com/spreadsheets/d/1SX6NBoVAgQJ6U1MVXOaj8PK2l7WJ3RER9xtqwdhxkhw/edit?usp=sharing"",""สุพรรณบุรี!I398"")"),0.0)</f>
        <v>0</v>
      </c>
      <c r="J503" s="232">
        <f>IFERROR(__xludf.DUMMYFUNCTION("IMPORTRANGE(""https://docs.google.com/spreadsheets/d/1SX6NBoVAgQJ6U1MVXOaj8PK2l7WJ3RER9xtqwdhxkhw/edit?usp=sharing"",""สุพรรณบุรี!J398"")"),0.0)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IFERROR(__xludf.DUMMYFUNCTION("IMPORTRANGE(""https://docs.google.com/spreadsheets/d/1SX6NBoVAgQJ6U1MVXOaj8PK2l7WJ3RER9xtqwdhxkhw/edit?usp=sharing"",""สุพรรณบุรี!I399"")"),0.0)</f>
        <v>0</v>
      </c>
      <c r="J504" s="223">
        <f>IFERROR(__xludf.DUMMYFUNCTION("IMPORTRANGE(""https://docs.google.com/spreadsheets/d/1SX6NBoVAgQJ6U1MVXOaj8PK2l7WJ3RER9xtqwdhxkhw/edit?usp=sharing"",""สุพรรณบุรี!J399"")"),0.0)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IFERROR(__xludf.DUMMYFUNCTION("IMPORTRANGE(""https://docs.google.com/spreadsheets/d/1SX6NBoVAgQJ6U1MVXOaj8PK2l7WJ3RER9xtqwdhxkhw/edit?usp=sharing"",""สุพรรณบุรี!I400"")"),0.0)</f>
        <v>0</v>
      </c>
      <c r="J505" s="232">
        <f>IFERROR(__xludf.DUMMYFUNCTION("IMPORTRANGE(""https://docs.google.com/spreadsheets/d/1SX6NBoVAgQJ6U1MVXOaj8PK2l7WJ3RER9xtqwdhxkhw/edit?usp=sharing"",""สุพรรณบุรี!J400"")"),0.0)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IFERROR(__xludf.DUMMYFUNCTION("IMPORTRANGE(""https://docs.google.com/spreadsheets/d/1SX6NBoVAgQJ6U1MVXOaj8PK2l7WJ3RER9xtqwdhxkhw/edit?usp=sharing"",""สุพรรณบุรี!I401"")"),0.0)</f>
        <v>0</v>
      </c>
      <c r="J506" s="223">
        <f>IFERROR(__xludf.DUMMYFUNCTION("IMPORTRANGE(""https://docs.google.com/spreadsheets/d/1SX6NBoVAgQJ6U1MVXOaj8PK2l7WJ3RER9xtqwdhxkhw/edit?usp=sharing"",""สุพรรณบุรี!J401"")"),0.0)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IFERROR(__xludf.DUMMYFUNCTION("IMPORTRANGE(""https://docs.google.com/spreadsheets/d/1SX6NBoVAgQJ6U1MVXOaj8PK2l7WJ3RER9xtqwdhxkhw/edit?usp=sharing"",""สุพรรณบุรี!I402"")"),0.0)</f>
        <v>0</v>
      </c>
      <c r="J507" s="232">
        <f>IFERROR(__xludf.DUMMYFUNCTION("IMPORTRANGE(""https://docs.google.com/spreadsheets/d/1SX6NBoVAgQJ6U1MVXOaj8PK2l7WJ3RER9xtqwdhxkhw/edit?usp=sharing"",""สุพรรณบุรี!J402"")"),0.0)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IFERROR(__xludf.DUMMYFUNCTION("IMPORTRANGE(""https://docs.google.com/spreadsheets/d/1SX6NBoVAgQJ6U1MVXOaj8PK2l7WJ3RER9xtqwdhxkhw/edit?usp=sharing"",""สุพรรณบุรี!I403"")"),0.0)</f>
        <v>0</v>
      </c>
      <c r="J508" s="195">
        <f>IFERROR(__xludf.DUMMYFUNCTION("IMPORTRANGE(""https://docs.google.com/spreadsheets/d/1SX6NBoVAgQJ6U1MVXOaj8PK2l7WJ3RER9xtqwdhxkhw/edit?usp=sharing"",""สุพรรณบุรี!J403"")"),0.0)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IFERROR(__xludf.DUMMYFUNCTION("IMPORTRANGE(""https://docs.google.com/spreadsheets/d/1SX6NBoVAgQJ6U1MVXOaj8PK2l7WJ3RER9xtqwdhxkhw/edit?usp=sharing"",""สุพรรณบุรี!I404"")"),0.0)</f>
        <v>0</v>
      </c>
      <c r="J509" s="195">
        <f>IFERROR(__xludf.DUMMYFUNCTION("IMPORTRANGE(""https://docs.google.com/spreadsheets/d/1SX6NBoVAgQJ6U1MVXOaj8PK2l7WJ3RER9xtqwdhxkhw/edit?usp=sharing"",""สุพรรณบุรี!J404"")"),0.0)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IFERROR(__xludf.DUMMYFUNCTION("IMPORTRANGE(""https://docs.google.com/spreadsheets/d/1SX6NBoVAgQJ6U1MVXOaj8PK2l7WJ3RER9xtqwdhxkhw/edit?usp=sharing"",""สุพรรณบุรี!I405"")"),0.0)</f>
        <v>0</v>
      </c>
      <c r="J510" s="232">
        <f>IFERROR(__xludf.DUMMYFUNCTION("IMPORTRANGE(""https://docs.google.com/spreadsheets/d/1SX6NBoVAgQJ6U1MVXOaj8PK2l7WJ3RER9xtqwdhxkhw/edit?usp=sharing"",""สุพรรณบุรี!J405"")"),0.0)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IFERROR(__xludf.DUMMYFUNCTION("IMPORTRANGE(""https://docs.google.com/spreadsheets/d/1SX6NBoVAgQJ6U1MVXOaj8PK2l7WJ3RER9xtqwdhxkhw/edit?usp=sharing"",""สุพรรณบุรี!I406"")"),0.0)</f>
        <v>0</v>
      </c>
      <c r="J511" s="232">
        <f>IFERROR(__xludf.DUMMYFUNCTION("IMPORTRANGE(""https://docs.google.com/spreadsheets/d/1SX6NBoVAgQJ6U1MVXOaj8PK2l7WJ3RER9xtqwdhxkhw/edit?usp=sharing"",""สุพรรณบุรี!J406"")"),0.0)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IFERROR(__xludf.DUMMYFUNCTION("IMPORTRANGE(""https://docs.google.com/spreadsheets/d/1SX6NBoVAgQJ6U1MVXOaj8PK2l7WJ3RER9xtqwdhxkhw/edit?usp=sharing"",""สุพรรณบุรี!I407"")"),0.0)</f>
        <v>0</v>
      </c>
      <c r="J512" s="232">
        <f>IFERROR(__xludf.DUMMYFUNCTION("IMPORTRANGE(""https://docs.google.com/spreadsheets/d/1SX6NBoVAgQJ6U1MVXOaj8PK2l7WJ3RER9xtqwdhxkhw/edit?usp=sharing"",""สุพรรณบุรี!J407"")"),0.0)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IFERROR(__xludf.DUMMYFUNCTION("IMPORTRANGE(""https://docs.google.com/spreadsheets/d/1SX6NBoVAgQJ6U1MVXOaj8PK2l7WJ3RER9xtqwdhxkhw/edit?usp=sharing"",""สุพรรณบุรี!I408"")"),0.0)</f>
        <v>0</v>
      </c>
      <c r="J513" s="232">
        <f>IFERROR(__xludf.DUMMYFUNCTION("IMPORTRANGE(""https://docs.google.com/spreadsheets/d/1SX6NBoVAgQJ6U1MVXOaj8PK2l7WJ3RER9xtqwdhxkhw/edit?usp=sharing"",""สุพรรณบุรี!J408"")"),0.0)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IFERROR(__xludf.DUMMYFUNCTION("IMPORTRANGE(""https://docs.google.com/spreadsheets/d/1SX6NBoVAgQJ6U1MVXOaj8PK2l7WJ3RER9xtqwdhxkhw/edit?usp=sharing"",""สุพรรณบุรี!I409"")"),0.0)</f>
        <v>0</v>
      </c>
      <c r="J514" s="232">
        <f>IFERROR(__xludf.DUMMYFUNCTION("IMPORTRANGE(""https://docs.google.com/spreadsheets/d/1SX6NBoVAgQJ6U1MVXOaj8PK2l7WJ3RER9xtqwdhxkhw/edit?usp=sharing"",""สุพรรณบุรี!J409"")"),0.0)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IFERROR(__xludf.DUMMYFUNCTION("IMPORTRANGE(""https://docs.google.com/spreadsheets/d/1SX6NBoVAgQJ6U1MVXOaj8PK2l7WJ3RER9xtqwdhxkhw/edit?usp=sharing"",""สุพรรณบุรี!I410"")"),0.0)</f>
        <v>0</v>
      </c>
      <c r="J515" s="232">
        <f>IFERROR(__xludf.DUMMYFUNCTION("IMPORTRANGE(""https://docs.google.com/spreadsheets/d/1SX6NBoVAgQJ6U1MVXOaj8PK2l7WJ3RER9xtqwdhxkhw/edit?usp=sharing"",""สุพรรณบุรี!J410"")"),0.0)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IFERROR(__xludf.DUMMYFUNCTION("IMPORTRANGE(""https://docs.google.com/spreadsheets/d/1SX6NBoVAgQJ6U1MVXOaj8PK2l7WJ3RER9xtqwdhxkhw/edit?usp=sharing"",""สุพรรณบุรี!I411"")"),0.0)</f>
        <v>0</v>
      </c>
      <c r="J516" s="301">
        <f>IFERROR(__xludf.DUMMYFUNCTION("IMPORTRANGE(""https://docs.google.com/spreadsheets/d/1SX6NBoVAgQJ6U1MVXOaj8PK2l7WJ3RER9xtqwdhxkhw/edit?usp=sharing"",""สุพรรณบุรี!J411"")"),0.0)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IFERROR(__xludf.DUMMYFUNCTION("IMPORTRANGE(""https://docs.google.com/spreadsheets/d/1SX6NBoVAgQJ6U1MVXOaj8PK2l7WJ3RER9xtqwdhxkhw/edit?usp=sharing"",""สุพรรณบุรี!I412"")"),0.0)</f>
        <v>0</v>
      </c>
      <c r="J517" s="317">
        <f>IFERROR(__xludf.DUMMYFUNCTION("IMPORTRANGE(""https://docs.google.com/spreadsheets/d/1SX6NBoVAgQJ6U1MVXOaj8PK2l7WJ3RER9xtqwdhxkhw/edit?usp=sharing"",""สุพรรณบุรี!J412"")"),0.0)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IFERROR(__xludf.DUMMYFUNCTION("IMPORTRANGE(""https://docs.google.com/spreadsheets/d/1SX6NBoVAgQJ6U1MVXOaj8PK2l7WJ3RER9xtqwdhxkhw/edit?usp=sharing"",""สุพรรณบุรี!I413"")"),0.0)</f>
        <v>0</v>
      </c>
      <c r="J518" s="317">
        <f>IFERROR(__xludf.DUMMYFUNCTION("IMPORTRANGE(""https://docs.google.com/spreadsheets/d/1SX6NBoVAgQJ6U1MVXOaj8PK2l7WJ3RER9xtqwdhxkhw/edit?usp=sharing"",""สุพรรณบุรี!J413"")"),0.0)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IFERROR(__xludf.DUMMYFUNCTION("IMPORTRANGE(""https://docs.google.com/spreadsheets/d/1SX6NBoVAgQJ6U1MVXOaj8PK2l7WJ3RER9xtqwdhxkhw/edit?usp=sharing"",""สุพรรณบุรี!I414"")"),0.0)</f>
        <v>0</v>
      </c>
      <c r="J519" s="222">
        <f>IFERROR(__xludf.DUMMYFUNCTION("IMPORTRANGE(""https://docs.google.com/spreadsheets/d/1SX6NBoVAgQJ6U1MVXOaj8PK2l7WJ3RER9xtqwdhxkhw/edit?usp=sharing"",""สุพรรณบุรี!J414"")"),0.0)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IFERROR(__xludf.DUMMYFUNCTION("IMPORTRANGE(""https://docs.google.com/spreadsheets/d/1SX6NBoVAgQJ6U1MVXOaj8PK2l7WJ3RER9xtqwdhxkhw/edit?usp=sharing"",""สุพรรณบุรี!I415"")"),0.0)</f>
        <v>0</v>
      </c>
      <c r="J520" s="222">
        <f>IFERROR(__xludf.DUMMYFUNCTION("IMPORTRANGE(""https://docs.google.com/spreadsheets/d/1SX6NBoVAgQJ6U1MVXOaj8PK2l7WJ3RER9xtqwdhxkhw/edit?usp=sharing"",""สุพรรณบุรี!J415"")"),0.0)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IFERROR(__xludf.DUMMYFUNCTION("IMPORTRANGE(""https://docs.google.com/spreadsheets/d/1SX6NBoVAgQJ6U1MVXOaj8PK2l7WJ3RER9xtqwdhxkhw/edit?usp=sharing"",""สุพรรณบุรี!I416"")"),0.0)</f>
        <v>0</v>
      </c>
      <c r="J521" s="222">
        <f>IFERROR(__xludf.DUMMYFUNCTION("IMPORTRANGE(""https://docs.google.com/spreadsheets/d/1SX6NBoVAgQJ6U1MVXOaj8PK2l7WJ3RER9xtqwdhxkhw/edit?usp=sharing"",""สุพรรณบุรี!J416"")"),0.0)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IFERROR(__xludf.DUMMYFUNCTION("IMPORTRANGE(""https://docs.google.com/spreadsheets/d/1SX6NBoVAgQJ6U1MVXOaj8PK2l7WJ3RER9xtqwdhxkhw/edit?usp=sharing"",""สุพรรณบุรี!I417"")"),0.0)</f>
        <v>0</v>
      </c>
      <c r="J522" s="222">
        <f>IFERROR(__xludf.DUMMYFUNCTION("IMPORTRANGE(""https://docs.google.com/spreadsheets/d/1SX6NBoVAgQJ6U1MVXOaj8PK2l7WJ3RER9xtqwdhxkhw/edit?usp=sharing"",""สุพรรณบุรี!J417"")"),0.0)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IFERROR(__xludf.DUMMYFUNCTION("IMPORTRANGE(""https://docs.google.com/spreadsheets/d/1SX6NBoVAgQJ6U1MVXOaj8PK2l7WJ3RER9xtqwdhxkhw/edit?usp=sharing"",""สุพรรณบุรี!I418"")"),0.0)</f>
        <v>0</v>
      </c>
      <c r="J523" s="222">
        <f>IFERROR(__xludf.DUMMYFUNCTION("IMPORTRANGE(""https://docs.google.com/spreadsheets/d/1SX6NBoVAgQJ6U1MVXOaj8PK2l7WJ3RER9xtqwdhxkhw/edit?usp=sharing"",""สุพรรณบุรี!J418"")"),0.0)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IFERROR(__xludf.DUMMYFUNCTION("IMPORTRANGE(""https://docs.google.com/spreadsheets/d/1SX6NBoVAgQJ6U1MVXOaj8PK2l7WJ3RER9xtqwdhxkhw/edit?usp=sharing"",""สุพรรณบุรี!I419"")"),0.0)</f>
        <v>0</v>
      </c>
      <c r="J524" s="222">
        <f>IFERROR(__xludf.DUMMYFUNCTION("IMPORTRANGE(""https://docs.google.com/spreadsheets/d/1SX6NBoVAgQJ6U1MVXOaj8PK2l7WJ3RER9xtqwdhxkhw/edit?usp=sharing"",""สุพรรณบุรี!J419"")"),0.0)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IFERROR(__xludf.DUMMYFUNCTION("IMPORTRANGE(""https://docs.google.com/spreadsheets/d/1SX6NBoVAgQJ6U1MVXOaj8PK2l7WJ3RER9xtqwdhxkhw/edit?usp=sharing"",""สุพรรณบุรี!I420"")"),0.0)</f>
        <v>0</v>
      </c>
      <c r="J525" s="317">
        <f>IFERROR(__xludf.DUMMYFUNCTION("IMPORTRANGE(""https://docs.google.com/spreadsheets/d/1SX6NBoVAgQJ6U1MVXOaj8PK2l7WJ3RER9xtqwdhxkhw/edit?usp=sharing"",""สุพรรณบุรี!J420"")"),0.0)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IFERROR(__xludf.DUMMYFUNCTION("IMPORTRANGE(""https://docs.google.com/spreadsheets/d/1SX6NBoVAgQJ6U1MVXOaj8PK2l7WJ3RER9xtqwdhxkhw/edit?usp=sharing"",""สุพรรณบุรี!I421"")"),0.0)</f>
        <v>0</v>
      </c>
      <c r="J526" s="317">
        <f>IFERROR(__xludf.DUMMYFUNCTION("IMPORTRANGE(""https://docs.google.com/spreadsheets/d/1SX6NBoVAgQJ6U1MVXOaj8PK2l7WJ3RER9xtqwdhxkhw/edit?usp=sharing"",""สุพรรณบุรี!J421"")"),0.0)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IFERROR(__xludf.DUMMYFUNCTION("IMPORTRANGE(""https://docs.google.com/spreadsheets/d/1SX6NBoVAgQJ6U1MVXOaj8PK2l7WJ3RER9xtqwdhxkhw/edit?usp=sharing"",""สุพรรณบุรี!I422"")"),0.0)</f>
        <v>0</v>
      </c>
      <c r="J527" s="232">
        <f>IFERROR(__xludf.DUMMYFUNCTION("IMPORTRANGE(""https://docs.google.com/spreadsheets/d/1SX6NBoVAgQJ6U1MVXOaj8PK2l7WJ3RER9xtqwdhxkhw/edit?usp=sharing"",""สุพรรณบุรี!J422"")"),0.0)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IFERROR(__xludf.DUMMYFUNCTION("IMPORTRANGE(""https://docs.google.com/spreadsheets/d/1SX6NBoVAgQJ6U1MVXOaj8PK2l7WJ3RER9xtqwdhxkhw/edit?usp=sharing"",""สุพรรณบุรี!I423"")"),0.0)</f>
        <v>0</v>
      </c>
      <c r="J528" s="232">
        <f>IFERROR(__xludf.DUMMYFUNCTION("IMPORTRANGE(""https://docs.google.com/spreadsheets/d/1SX6NBoVAgQJ6U1MVXOaj8PK2l7WJ3RER9xtqwdhxkhw/edit?usp=sharing"",""สุพรรณบุรี!J423"")"),0.0)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IFERROR(__xludf.DUMMYFUNCTION("IMPORTRANGE(""https://docs.google.com/spreadsheets/d/1SX6NBoVAgQJ6U1MVXOaj8PK2l7WJ3RER9xtqwdhxkhw/edit?usp=sharing"",""สุพรรณบุรี!I424"")"),0.0)</f>
        <v>0</v>
      </c>
      <c r="J529" s="232">
        <f>IFERROR(__xludf.DUMMYFUNCTION("IMPORTRANGE(""https://docs.google.com/spreadsheets/d/1SX6NBoVAgQJ6U1MVXOaj8PK2l7WJ3RER9xtqwdhxkhw/edit?usp=sharing"",""สุพรรณบุรี!J424"")"),0.0)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IFERROR(__xludf.DUMMYFUNCTION("IMPORTRANGE(""https://docs.google.com/spreadsheets/d/1SX6NBoVAgQJ6U1MVXOaj8PK2l7WJ3RER9xtqwdhxkhw/edit?usp=sharing"",""สุพรรณบุรี!I425"")"),0.0)</f>
        <v>0</v>
      </c>
      <c r="J530" s="232">
        <f>IFERROR(__xludf.DUMMYFUNCTION("IMPORTRANGE(""https://docs.google.com/spreadsheets/d/1SX6NBoVAgQJ6U1MVXOaj8PK2l7WJ3RER9xtqwdhxkhw/edit?usp=sharing"",""สุพรรณบุรี!J425"")"),0.0)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IFERROR(__xludf.DUMMYFUNCTION("IMPORTRANGE(""https://docs.google.com/spreadsheets/d/1SX6NBoVAgQJ6U1MVXOaj8PK2l7WJ3RER9xtqwdhxkhw/edit?usp=sharing"",""สุพรรณบุรี!I426"")"),0.0)</f>
        <v>0</v>
      </c>
      <c r="J531" s="232">
        <f>IFERROR(__xludf.DUMMYFUNCTION("IMPORTRANGE(""https://docs.google.com/spreadsheets/d/1SX6NBoVAgQJ6U1MVXOaj8PK2l7WJ3RER9xtqwdhxkhw/edit?usp=sharing"",""สุพรรณบุรี!J426"")"),0.0)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IFERROR(__xludf.DUMMYFUNCTION("IMPORTRANGE(""https://docs.google.com/spreadsheets/d/1SX6NBoVAgQJ6U1MVXOaj8PK2l7WJ3RER9xtqwdhxkhw/edit?usp=sharing"",""สุพรรณบุรี!I427"")"),0.0)</f>
        <v>0</v>
      </c>
      <c r="J532" s="499">
        <f>IFERROR(__xludf.DUMMYFUNCTION("IMPORTRANGE(""https://docs.google.com/spreadsheets/d/1SX6NBoVAgQJ6U1MVXOaj8PK2l7WJ3RER9xtqwdhxkhw/edit?usp=sharing"",""สุพรรณบุรี!J427"")"),0.0)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IFERROR(__xludf.DUMMYFUNCTION("IMPORTRANGE(""https://docs.google.com/spreadsheets/d/1SX6NBoVAgQJ6U1MVXOaj8PK2l7WJ3RER9xtqwdhxkhw/edit?usp=sharing"",""สุพรรณบุรี!I428"")"),22.0)</f>
        <v>22</v>
      </c>
      <c r="J533" s="443">
        <f>IFERROR(__xludf.DUMMYFUNCTION("IMPORTRANGE(""https://docs.google.com/spreadsheets/d/1SX6NBoVAgQJ6U1MVXOaj8PK2l7WJ3RER9xtqwdhxkhw/edit?usp=sharing"",""สุพรรณบุรี!J428"")"),22.0)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IFERROR(__xludf.DUMMYFUNCTION("IMPORTRANGE(""https://docs.google.com/spreadsheets/d/1SX6NBoVAgQJ6U1MVXOaj8PK2l7WJ3RER9xtqwdhxkhw/edit?usp=sharing"",""สุพรรณบุรี!L428"")"),34340.0)</f>
        <v>34340</v>
      </c>
      <c r="M533" s="445"/>
      <c r="N533" s="445">
        <f>IFERROR(__xludf.DUMMYFUNCTION("IMPORTRANGE(""https://docs.google.com/spreadsheets/d/1SX6NBoVAgQJ6U1MVXOaj8PK2l7WJ3RER9xtqwdhxkhw/edit?usp=sharing"",""สุพรรณบุรี!M428"")"),29945.0)</f>
        <v>29945</v>
      </c>
      <c r="O533" s="445">
        <f t="shared" ref="O533:O537" si="119">+IF(L533&gt;0,N533*100/L533,0)</f>
        <v>87.20151427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IFERROR(__xludf.DUMMYFUNCTION("IMPORTRANGE(""https://docs.google.com/spreadsheets/d/1SX6NBoVAgQJ6U1MVXOaj8PK2l7WJ3RER9xtqwdhxkhw/edit?usp=sharing"",""สุพรรณบุรี!L429"")"),0.0)</f>
        <v>0</v>
      </c>
      <c r="M534" s="197"/>
      <c r="N534" s="203">
        <f>IFERROR(__xludf.DUMMYFUNCTION("IMPORTRANGE(""https://docs.google.com/spreadsheets/d/1SX6NBoVAgQJ6U1MVXOaj8PK2l7WJ3RER9xtqwdhxkhw/edit?usp=sharing"",""สุพรรณบุรี!M429"")"),0.0)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IFERROR(__xludf.DUMMYFUNCTION("IMPORTRANGE(""https://docs.google.com/spreadsheets/d/1SX6NBoVAgQJ6U1MVXOaj8PK2l7WJ3RER9xtqwdhxkhw/edit?usp=sharing"",""สุพรรณบุรี!L430"")"),34340.0)</f>
        <v>34340</v>
      </c>
      <c r="M535" s="198"/>
      <c r="N535" s="203">
        <f>IFERROR(__xludf.DUMMYFUNCTION("IMPORTRANGE(""https://docs.google.com/spreadsheets/d/1SX6NBoVAgQJ6U1MVXOaj8PK2l7WJ3RER9xtqwdhxkhw/edit?usp=sharing"",""สุพรรณบุรี!M430"")"),29945.0)</f>
        <v>29945</v>
      </c>
      <c r="O535" s="203">
        <f t="shared" si="119"/>
        <v>87.20151427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IFERROR(__xludf.DUMMYFUNCTION("IMPORTRANGE(""https://docs.google.com/spreadsheets/d/1SX6NBoVAgQJ6U1MVXOaj8PK2l7WJ3RER9xtqwdhxkhw/edit?usp=sharing"",""สุพรรณบุรี!L431"")"),0.0)</f>
        <v>0</v>
      </c>
      <c r="M536" s="203"/>
      <c r="N536" s="203">
        <f>IFERROR(__xludf.DUMMYFUNCTION("IMPORTRANGE(""https://docs.google.com/spreadsheets/d/1SX6NBoVAgQJ6U1MVXOaj8PK2l7WJ3RER9xtqwdhxkhw/edit?usp=sharing"",""สุพรรณบุรี!M431"")"),0.0)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IFERROR(__xludf.DUMMYFUNCTION("IMPORTRANGE(""https://docs.google.com/spreadsheets/d/1SX6NBoVAgQJ6U1MVXOaj8PK2l7WJ3RER9xtqwdhxkhw/edit?usp=sharing"",""สุพรรณบุรี!L432"")"),34340.0)</f>
        <v>34340</v>
      </c>
      <c r="M537" s="203"/>
      <c r="N537" s="203">
        <f>IFERROR(__xludf.DUMMYFUNCTION("IMPORTRANGE(""https://docs.google.com/spreadsheets/d/1SX6NBoVAgQJ6U1MVXOaj8PK2l7WJ3RER9xtqwdhxkhw/edit?usp=sharing"",""สุพรรณบุรี!M432"")"),29945.0)</f>
        <v>29945</v>
      </c>
      <c r="O537" s="203">
        <f t="shared" si="119"/>
        <v>87.20151427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IFERROR(__xludf.DUMMYFUNCTION("IMPORTRANGE(""https://docs.google.com/spreadsheets/d/1SX6NBoVAgQJ6U1MVXOaj8PK2l7WJ3RER9xtqwdhxkhw/edit?usp=sharing"",""สุพรรณบุรี!M433"")"),27945.0)</f>
        <v>27945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IFERROR(__xludf.DUMMYFUNCTION("IMPORTRANGE(""https://docs.google.com/spreadsheets/d/1SX6NBoVAgQJ6U1MVXOaj8PK2l7WJ3RER9xtqwdhxkhw/edit?usp=sharing"",""สุพรรณบุรี!M434"")"),0.0)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IFERROR(__xludf.DUMMYFUNCTION("IMPORTRANGE(""https://docs.google.com/spreadsheets/d/1SX6NBoVAgQJ6U1MVXOaj8PK2l7WJ3RER9xtqwdhxkhw/edit?usp=sharing"",""สุพรรณบุรี!M435"")"),0.0)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IFERROR(__xludf.DUMMYFUNCTION("IMPORTRANGE(""https://docs.google.com/spreadsheets/d/1SX6NBoVAgQJ6U1MVXOaj8PK2l7WJ3RER9xtqwdhxkhw/edit?usp=sharing"",""สุพรรณบุรี!M436"")"),2000.0)</f>
        <v>2000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IFERROR(__xludf.DUMMYFUNCTION("IMPORTRANGE(""https://docs.google.com/spreadsheets/d/1SX6NBoVAgQJ6U1MVXOaj8PK2l7WJ3RER9xtqwdhxkhw/edit?usp=sharing"",""สุพรรณบุรี!J438"")"),0.0)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IFERROR(__xludf.DUMMYFUNCTION("IMPORTRANGE(""https://docs.google.com/spreadsheets/d/1SX6NBoVAgQJ6U1MVXOaj8PK2l7WJ3RER9xtqwdhxkhw/edit?usp=sharing"",""สุพรรณบุรี!J439"")"),1.0)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IFERROR(__xludf.DUMMYFUNCTION("IMPORTRANGE(""https://docs.google.com/spreadsheets/d/1SX6NBoVAgQJ6U1MVXOaj8PK2l7WJ3RER9xtqwdhxkhw/edit?usp=sharing"",""สุพรรณบุรี!J440"")"),1.0)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IFERROR(__xludf.DUMMYFUNCTION("IMPORTRANGE(""https://docs.google.com/spreadsheets/d/1SX6NBoVAgQJ6U1MVXOaj8PK2l7WJ3RER9xtqwdhxkhw/edit?usp=sharing"",""สุพรรณบุรี!J441"")"),1.0)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IFERROR(__xludf.DUMMYFUNCTION("IMPORTRANGE(""https://docs.google.com/spreadsheets/d/1SX6NBoVAgQJ6U1MVXOaj8PK2l7WJ3RER9xtqwdhxkhw/edit?usp=sharing"",""สุพรรณบุรี!I442"")"),22.0)</f>
        <v>22</v>
      </c>
      <c r="J547" s="223">
        <f>IFERROR(__xludf.DUMMYFUNCTION("IMPORTRANGE(""https://docs.google.com/spreadsheets/d/1SX6NBoVAgQJ6U1MVXOaj8PK2l7WJ3RER9xtqwdhxkhw/edit?usp=sharing"",""สุพรรณบุรี!J442"")"),22.0)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IFERROR(__xludf.DUMMYFUNCTION("IMPORTRANGE(""https://docs.google.com/spreadsheets/d/1SX6NBoVAgQJ6U1MVXOaj8PK2l7WJ3RER9xtqwdhxkhw/edit?usp=sharing"",""สุพรรณบุรี!J166"")"),0.0)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IFERROR(__xludf.DUMMYFUNCTION("IMPORTRANGE(""https://docs.google.com/spreadsheets/d/1SX6NBoVAgQJ6U1MVXOaj8PK2l7WJ3RER9xtqwdhxkhw/edit?usp=sharing"",""สุพรรณบุรี!J444"")"),0.0)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IFERROR(__xludf.DUMMYFUNCTION("IMPORTRANGE(""https://docs.google.com/spreadsheets/d/1SX6NBoVAgQJ6U1MVXOaj8PK2l7WJ3RER9xtqwdhxkhw/edit?usp=sharing"",""สุพรรณบุรี!J445"")"),0.0)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IFERROR(__xludf.DUMMYFUNCTION("IMPORTRANGE(""https://docs.google.com/spreadsheets/d/1SX6NBoVAgQJ6U1MVXOaj8PK2l7WJ3RER9xtqwdhxkhw/edit?usp=sharing"",""สุพรรณบุรี!I446"")"),0.0)</f>
        <v>0</v>
      </c>
      <c r="J551" s="443">
        <f>IFERROR(__xludf.DUMMYFUNCTION("IMPORTRANGE(""https://docs.google.com/spreadsheets/d/1SX6NBoVAgQJ6U1MVXOaj8PK2l7WJ3RER9xtqwdhxkhw/edit?usp=sharing"",""สุพรรณบุรี!J446"")"),0.0)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IFERROR(__xludf.DUMMYFUNCTION("IMPORTRANGE(""https://docs.google.com/spreadsheets/d/1SX6NBoVAgQJ6U1MVXOaj8PK2l7WJ3RER9xtqwdhxkhw/edit?usp=sharing"",""สุพรรณบุรี!L446"")"),0.0)</f>
        <v>0</v>
      </c>
      <c r="M551" s="445"/>
      <c r="N551" s="445">
        <f>IFERROR(__xludf.DUMMYFUNCTION("IMPORTRANGE(""https://docs.google.com/spreadsheets/d/1SX6NBoVAgQJ6U1MVXOaj8PK2l7WJ3RER9xtqwdhxkhw/edit?usp=sharing"",""สุพรรณบุรี!M446"")"),0.0)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IFERROR(__xludf.DUMMYFUNCTION("IMPORTRANGE(""https://docs.google.com/spreadsheets/d/1SX6NBoVAgQJ6U1MVXOaj8PK2l7WJ3RER9xtqwdhxkhw/edit?usp=sharing"",""สุพรรณบุรี!L447"")"),0.0)</f>
        <v>0</v>
      </c>
      <c r="M552" s="197"/>
      <c r="N552" s="203">
        <f>IFERROR(__xludf.DUMMYFUNCTION("IMPORTRANGE(""https://docs.google.com/spreadsheets/d/1SX6NBoVAgQJ6U1MVXOaj8PK2l7WJ3RER9xtqwdhxkhw/edit?usp=sharing"",""สุพรรณบุรี!M447"")"),0.0)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IFERROR(__xludf.DUMMYFUNCTION("IMPORTRANGE(""https://docs.google.com/spreadsheets/d/1SX6NBoVAgQJ6U1MVXOaj8PK2l7WJ3RER9xtqwdhxkhw/edit?usp=sharing"",""สุพรรณบุรี!L448"")"),0.0)</f>
        <v>0</v>
      </c>
      <c r="M553" s="198"/>
      <c r="N553" s="203">
        <f>IFERROR(__xludf.DUMMYFUNCTION("IMPORTRANGE(""https://docs.google.com/spreadsheets/d/1SX6NBoVAgQJ6U1MVXOaj8PK2l7WJ3RER9xtqwdhxkhw/edit?usp=sharing"",""สุพรรณบุรี!M448"")"),0.0)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IFERROR(__xludf.DUMMYFUNCTION("IMPORTRANGE(""https://docs.google.com/spreadsheets/d/1SX6NBoVAgQJ6U1MVXOaj8PK2l7WJ3RER9xtqwdhxkhw/edit?usp=sharing"",""สุพรรณบุรี!L449"")"),0.0)</f>
        <v>0</v>
      </c>
      <c r="M554" s="203"/>
      <c r="N554" s="203">
        <f>IFERROR(__xludf.DUMMYFUNCTION("IMPORTRANGE(""https://docs.google.com/spreadsheets/d/1SX6NBoVAgQJ6U1MVXOaj8PK2l7WJ3RER9xtqwdhxkhw/edit?usp=sharing"",""สุพรรณบุรี!M449"")"),0.0)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IFERROR(__xludf.DUMMYFUNCTION("IMPORTRANGE(""https://docs.google.com/spreadsheets/d/1SX6NBoVAgQJ6U1MVXOaj8PK2l7WJ3RER9xtqwdhxkhw/edit?usp=sharing"",""สุพรรณบุรี!L450"")"),0.0)</f>
        <v>0</v>
      </c>
      <c r="M555" s="203"/>
      <c r="N555" s="203">
        <f>IFERROR(__xludf.DUMMYFUNCTION("IMPORTRANGE(""https://docs.google.com/spreadsheets/d/1SX6NBoVAgQJ6U1MVXOaj8PK2l7WJ3RER9xtqwdhxkhw/edit?usp=sharing"",""สุพรรณบุรี!M450"")"),0.0)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IFERROR(__xludf.DUMMYFUNCTION("IMPORTRANGE(""https://docs.google.com/spreadsheets/d/1SX6NBoVAgQJ6U1MVXOaj8PK2l7WJ3RER9xtqwdhxkhw/edit?usp=sharing"",""สุพรรณบุรี!M451"")"),0.0)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IFERROR(__xludf.DUMMYFUNCTION("IMPORTRANGE(""https://docs.google.com/spreadsheets/d/1SX6NBoVAgQJ6U1MVXOaj8PK2l7WJ3RER9xtqwdhxkhw/edit?usp=sharing"",""สุพรรณบุรี!M452"")"),0.0)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IFERROR(__xludf.DUMMYFUNCTION("IMPORTRANGE(""https://docs.google.com/spreadsheets/d/1SX6NBoVAgQJ6U1MVXOaj8PK2l7WJ3RER9xtqwdhxkhw/edit?usp=sharing"",""สุพรรณบุรี!M453"")"),0.0)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IFERROR(__xludf.DUMMYFUNCTION("IMPORTRANGE(""https://docs.google.com/spreadsheets/d/1SX6NBoVAgQJ6U1MVXOaj8PK2l7WJ3RER9xtqwdhxkhw/edit?usp=sharing"",""สุพรรณบุรี!M454"")"),0.0)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IFERROR(__xludf.DUMMYFUNCTION("IMPORTRANGE(""https://docs.google.com/spreadsheets/d/1SX6NBoVAgQJ6U1MVXOaj8PK2l7WJ3RER9xtqwdhxkhw/edit?usp=sharing"",""สุพรรณบุรี!I455"")"),0.0)</f>
        <v>0</v>
      </c>
      <c r="J560" s="195">
        <f>IFERROR(__xludf.DUMMYFUNCTION("IMPORTRANGE(""https://docs.google.com/spreadsheets/d/1SX6NBoVAgQJ6U1MVXOaj8PK2l7WJ3RER9xtqwdhxkhw/edit?usp=sharing"",""สุพรรณบุรี!J455"")"),0.0)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IFERROR(__xludf.DUMMYFUNCTION("IMPORTRANGE(""https://docs.google.com/spreadsheets/d/1SX6NBoVAgQJ6U1MVXOaj8PK2l7WJ3RER9xtqwdhxkhw/edit?usp=sharing"",""สุพรรณบุรี!I456"")"),0.0)</f>
        <v>0</v>
      </c>
      <c r="J561" s="238">
        <f>IFERROR(__xludf.DUMMYFUNCTION("IMPORTRANGE(""https://docs.google.com/spreadsheets/d/1SX6NBoVAgQJ6U1MVXOaj8PK2l7WJ3RER9xtqwdhxkhw/edit?usp=sharing"",""สุพรรณบุรี!J456"")"),0.0)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IFERROR(__xludf.DUMMYFUNCTION("IMPORTRANGE(""https://docs.google.com/spreadsheets/d/1SX6NBoVAgQJ6U1MVXOaj8PK2l7WJ3RER9xtqwdhxkhw/edit?usp=sharing"",""สุพรรณบุรี!I457"")"),"")</f>
        <v/>
      </c>
      <c r="J562" s="238" t="str">
        <f>IFERROR(__xludf.DUMMYFUNCTION("IMPORTRANGE(""https://docs.google.com/spreadsheets/d/1SX6NBoVAgQJ6U1MVXOaj8PK2l7WJ3RER9xtqwdhxkhw/edit?usp=sharing"",""สุพรรณบุรี!J457"")"),"")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IFERROR(__xludf.DUMMYFUNCTION("IMPORTRANGE(""https://docs.google.com/spreadsheets/d/1SX6NBoVAgQJ6U1MVXOaj8PK2l7WJ3RER9xtqwdhxkhw/edit?usp=sharing"",""สุพรรณบุรี!I458"")"),"")</f>
        <v/>
      </c>
      <c r="J563" s="222" t="str">
        <f>IFERROR(__xludf.DUMMYFUNCTION("IMPORTRANGE(""https://docs.google.com/spreadsheets/d/1SX6NBoVAgQJ6U1MVXOaj8PK2l7WJ3RER9xtqwdhxkhw/edit?usp=sharing"",""สุพรรณบุรี!J458"")"),"")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IFERROR(__xludf.DUMMYFUNCTION("IMPORTRANGE(""https://docs.google.com/spreadsheets/d/1SX6NBoVAgQJ6U1MVXOaj8PK2l7WJ3RER9xtqwdhxkhw/edit?usp=sharing"",""สุพรรณบุรี!I459"")"),900.0)</f>
        <v>900</v>
      </c>
      <c r="J564" s="404">
        <f>IFERROR(__xludf.DUMMYFUNCTION("IMPORTRANGE(""https://docs.google.com/spreadsheets/d/1SX6NBoVAgQJ6U1MVXOaj8PK2l7WJ3RER9xtqwdhxkhw/edit?usp=sharing"",""สุพรรณบุรี!J459"")"),1024.0)</f>
        <v>1024</v>
      </c>
      <c r="K564" s="405">
        <f t="shared" si="122"/>
        <v>113.7777778</v>
      </c>
      <c r="L564" s="406">
        <f>IFERROR(__xludf.DUMMYFUNCTION("IMPORTRANGE(""https://docs.google.com/spreadsheets/d/1SX6NBoVAgQJ6U1MVXOaj8PK2l7WJ3RER9xtqwdhxkhw/edit?usp=sharing"",""สุพรรณบุรี!L459"")"),128080.0)</f>
        <v>128080</v>
      </c>
      <c r="M564" s="406"/>
      <c r="N564" s="406">
        <f>IFERROR(__xludf.DUMMYFUNCTION("IMPORTRANGE(""https://docs.google.com/spreadsheets/d/1SX6NBoVAgQJ6U1MVXOaj8PK2l7WJ3RER9xtqwdhxkhw/edit?usp=sharing"",""สุพรรณบุรี!M459"")"),32435.52)</f>
        <v>32435.52</v>
      </c>
      <c r="O564" s="406">
        <f t="shared" ref="O564:O568" si="123">+IF(L564&gt;0,N564*100/L564,0)</f>
        <v>25.32442224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IFERROR(__xludf.DUMMYFUNCTION("IMPORTRANGE(""https://docs.google.com/spreadsheets/d/1SX6NBoVAgQJ6U1MVXOaj8PK2l7WJ3RER9xtqwdhxkhw/edit?usp=sharing"",""สุพรรณบุรี!L460"")"),0.0)</f>
        <v>0</v>
      </c>
      <c r="M565" s="197"/>
      <c r="N565" s="203">
        <f>IFERROR(__xludf.DUMMYFUNCTION("IMPORTRANGE(""https://docs.google.com/spreadsheets/d/1SX6NBoVAgQJ6U1MVXOaj8PK2l7WJ3RER9xtqwdhxkhw/edit?usp=sharing"",""สุพรรณบุรี!M460"")"),0.0)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IFERROR(__xludf.DUMMYFUNCTION("IMPORTRANGE(""https://docs.google.com/spreadsheets/d/1SX6NBoVAgQJ6U1MVXOaj8PK2l7WJ3RER9xtqwdhxkhw/edit?usp=sharing"",""สุพรรณบุรี!L461"")"),128080.0)</f>
        <v>128080</v>
      </c>
      <c r="M566" s="198"/>
      <c r="N566" s="203">
        <f>IFERROR(__xludf.DUMMYFUNCTION("IMPORTRANGE(""https://docs.google.com/spreadsheets/d/1SX6NBoVAgQJ6U1MVXOaj8PK2l7WJ3RER9xtqwdhxkhw/edit?usp=sharing"",""สุพรรณบุรี!M461"")"),32435.52)</f>
        <v>32435.52</v>
      </c>
      <c r="O566" s="203">
        <f t="shared" si="123"/>
        <v>25.32442224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IFERROR(__xludf.DUMMYFUNCTION("IMPORTRANGE(""https://docs.google.com/spreadsheets/d/1SX6NBoVAgQJ6U1MVXOaj8PK2l7WJ3RER9xtqwdhxkhw/edit?usp=sharing"",""สุพรรณบุรี!L462"")"),0.0)</f>
        <v>0</v>
      </c>
      <c r="M567" s="203"/>
      <c r="N567" s="203">
        <f>IFERROR(__xludf.DUMMYFUNCTION("IMPORTRANGE(""https://docs.google.com/spreadsheets/d/1SX6NBoVAgQJ6U1MVXOaj8PK2l7WJ3RER9xtqwdhxkhw/edit?usp=sharing"",""สุพรรณบุรี!M462"")"),0.0)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IFERROR(__xludf.DUMMYFUNCTION("IMPORTRANGE(""https://docs.google.com/spreadsheets/d/1SX6NBoVAgQJ6U1MVXOaj8PK2l7WJ3RER9xtqwdhxkhw/edit?usp=sharing"",""สุพรรณบุรี!L463"")"),128080.0)</f>
        <v>128080</v>
      </c>
      <c r="M568" s="203"/>
      <c r="N568" s="203">
        <f>IFERROR(__xludf.DUMMYFUNCTION("IMPORTRANGE(""https://docs.google.com/spreadsheets/d/1SX6NBoVAgQJ6U1MVXOaj8PK2l7WJ3RER9xtqwdhxkhw/edit?usp=sharing"",""สุพรรณบุรี!M463"")"),32435.52)</f>
        <v>32435.52</v>
      </c>
      <c r="O568" s="203">
        <f t="shared" si="123"/>
        <v>25.32442224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IFERROR(__xludf.DUMMYFUNCTION("IMPORTRANGE(""https://docs.google.com/spreadsheets/d/1SX6NBoVAgQJ6U1MVXOaj8PK2l7WJ3RER9xtqwdhxkhw/edit?usp=sharing"",""สุพรรณบุรี!M464"")"),0.0)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IFERROR(__xludf.DUMMYFUNCTION("IMPORTRANGE(""https://docs.google.com/spreadsheets/d/1SX6NBoVAgQJ6U1MVXOaj8PK2l7WJ3RER9xtqwdhxkhw/edit?usp=sharing"",""สุพรรณบุรี!M465"")"),0.0)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IFERROR(__xludf.DUMMYFUNCTION("IMPORTRANGE(""https://docs.google.com/spreadsheets/d/1SX6NBoVAgQJ6U1MVXOaj8PK2l7WJ3RER9xtqwdhxkhw/edit?usp=sharing"",""สุพรรณบุรี!M466"")"),31935.52)</f>
        <v>31935.52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IFERROR(__xludf.DUMMYFUNCTION("IMPORTRANGE(""https://docs.google.com/spreadsheets/d/1SX6NBoVAgQJ6U1MVXOaj8PK2l7WJ3RER9xtqwdhxkhw/edit?usp=sharing"",""สุพรรณบุรี!M467"")"),500.0)</f>
        <v>500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IFERROR(__xludf.DUMMYFUNCTION("IMPORTRANGE(""https://docs.google.com/spreadsheets/d/1SX6NBoVAgQJ6U1MVXOaj8PK2l7WJ3RER9xtqwdhxkhw/edit?usp=sharing"",""สุพรรณบุรี!I468"")"),900.0)</f>
        <v>900</v>
      </c>
      <c r="J573" s="453">
        <f>IFERROR(__xludf.DUMMYFUNCTION("IMPORTRANGE(""https://docs.google.com/spreadsheets/d/1SX6NBoVAgQJ6U1MVXOaj8PK2l7WJ3RER9xtqwdhxkhw/edit?usp=sharing"",""สุพรรณบุรี!J468"")"),1024.0)</f>
        <v>1024</v>
      </c>
      <c r="K573" s="236">
        <f>IF(I573&gt;0,J573*100/I573,0)</f>
        <v>113.7777778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IFERROR(__xludf.DUMMYFUNCTION("IMPORTRANGE(""https://docs.google.com/spreadsheets/d/1SX6NBoVAgQJ6U1MVXOaj8PK2l7WJ3RER9xtqwdhxkhw/edit?usp=sharing"",""สุพรรณบุรี!I470"")"),0.0)</f>
        <v>0</v>
      </c>
      <c r="J575" s="232">
        <f>IFERROR(__xludf.DUMMYFUNCTION("IMPORTRANGE(""https://docs.google.com/spreadsheets/d/1SX6NBoVAgQJ6U1MVXOaj8PK2l7WJ3RER9xtqwdhxkhw/edit?usp=sharing"",""สุพรรณบุรี!J470"")"),0.0)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IFERROR(__xludf.DUMMYFUNCTION("IMPORTRANGE(""https://docs.google.com/spreadsheets/d/1SX6NBoVAgQJ6U1MVXOaj8PK2l7WJ3RER9xtqwdhxkhw/edit?usp=sharing"",""สุพรรณบุรี!I471"")"),0.0)</f>
        <v>0</v>
      </c>
      <c r="J576" s="232">
        <f>IFERROR(__xludf.DUMMYFUNCTION("IMPORTRANGE(""https://docs.google.com/spreadsheets/d/1SX6NBoVAgQJ6U1MVXOaj8PK2l7WJ3RER9xtqwdhxkhw/edit?usp=sharing"",""สุพรรณบุรี!J471"")"),0.0)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IFERROR(__xludf.DUMMYFUNCTION("IMPORTRANGE(""https://docs.google.com/spreadsheets/d/1SX6NBoVAgQJ6U1MVXOaj8PK2l7WJ3RER9xtqwdhxkhw/edit?usp=sharing"",""สุพรรณบุรี!I472"")"),0.0)</f>
        <v>0</v>
      </c>
      <c r="J577" s="223">
        <f>IFERROR(__xludf.DUMMYFUNCTION("IMPORTRANGE(""https://docs.google.com/spreadsheets/d/1SX6NBoVAgQJ6U1MVXOaj8PK2l7WJ3RER9xtqwdhxkhw/edit?usp=sharing"",""สุพรรณบุรี!J472"")"),1024.0)</f>
        <v>1024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IFERROR(__xludf.DUMMYFUNCTION("IMPORTRANGE(""https://docs.google.com/spreadsheets/d/1SX6NBoVAgQJ6U1MVXOaj8PK2l7WJ3RER9xtqwdhxkhw/edit?usp=sharing"",""สุพรรณบุรี!I473"")"),0.0)</f>
        <v>0</v>
      </c>
      <c r="J578" s="232">
        <f>IFERROR(__xludf.DUMMYFUNCTION("IMPORTRANGE(""https://docs.google.com/spreadsheets/d/1SX6NBoVAgQJ6U1MVXOaj8PK2l7WJ3RER9xtqwdhxkhw/edit?usp=sharing"",""สุพรรณบุรี!J473"")"),0.0)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IFERROR(__xludf.DUMMYFUNCTION("IMPORTRANGE(""https://docs.google.com/spreadsheets/d/1SX6NBoVAgQJ6U1MVXOaj8PK2l7WJ3RER9xtqwdhxkhw/edit?usp=sharing"",""สุพรรณบุรี!I474"")"),0.0)</f>
        <v>0</v>
      </c>
      <c r="J579" s="232">
        <f>IFERROR(__xludf.DUMMYFUNCTION("IMPORTRANGE(""https://docs.google.com/spreadsheets/d/1SX6NBoVAgQJ6U1MVXOaj8PK2l7WJ3RER9xtqwdhxkhw/edit?usp=sharing"",""สุพรรณบุรี!J474"")"),0.0)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IFERROR(__xludf.DUMMYFUNCTION("IMPORTRANGE(""https://docs.google.com/spreadsheets/d/1SX6NBoVAgQJ6U1MVXOaj8PK2l7WJ3RER9xtqwdhxkhw/edit?usp=sharing"",""สุพรรณบุรี!I475"")"),80.0)</f>
        <v>80</v>
      </c>
      <c r="J580" s="404">
        <f>IFERROR(__xludf.DUMMYFUNCTION("IMPORTRANGE(""https://docs.google.com/spreadsheets/d/1SX6NBoVAgQJ6U1MVXOaj8PK2l7WJ3RER9xtqwdhxkhw/edit?usp=sharing"",""สุพรรณบุรี!J475"")"),6.0)</f>
        <v>6</v>
      </c>
      <c r="K580" s="405">
        <f>IF(I580&gt;0,J580*100/I580,0)</f>
        <v>7.5</v>
      </c>
      <c r="L580" s="406">
        <f>IFERROR(__xludf.DUMMYFUNCTION("IMPORTRANGE(""https://docs.google.com/spreadsheets/d/1SX6NBoVAgQJ6U1MVXOaj8PK2l7WJ3RER9xtqwdhxkhw/edit?usp=sharing"",""สุพรรณบุรี!L475"")"),308380.0)</f>
        <v>308380</v>
      </c>
      <c r="M580" s="406"/>
      <c r="N580" s="406">
        <f>IFERROR(__xludf.DUMMYFUNCTION("IMPORTRANGE(""https://docs.google.com/spreadsheets/d/1SX6NBoVAgQJ6U1MVXOaj8PK2l7WJ3RER9xtqwdhxkhw/edit?usp=sharing"",""สุพรรณบุรี!M475"")"),52838.73)</f>
        <v>52838.73</v>
      </c>
      <c r="O580" s="406">
        <f t="shared" ref="O580:O584" si="125">+IF(L580&gt;0,N580*100/L580,0)</f>
        <v>17.13429211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IFERROR(__xludf.DUMMYFUNCTION("IMPORTRANGE(""https://docs.google.com/spreadsheets/d/1SX6NBoVAgQJ6U1MVXOaj8PK2l7WJ3RER9xtqwdhxkhw/edit?usp=sharing"",""สุพรรณบุรี!L476"")"),0.0)</f>
        <v>0</v>
      </c>
      <c r="M581" s="197"/>
      <c r="N581" s="203">
        <f>IFERROR(__xludf.DUMMYFUNCTION("IMPORTRANGE(""https://docs.google.com/spreadsheets/d/1SX6NBoVAgQJ6U1MVXOaj8PK2l7WJ3RER9xtqwdhxkhw/edit?usp=sharing"",""สุพรรณบุรี!M476"")"),0.0)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IFERROR(__xludf.DUMMYFUNCTION("IMPORTRANGE(""https://docs.google.com/spreadsheets/d/1SX6NBoVAgQJ6U1MVXOaj8PK2l7WJ3RER9xtqwdhxkhw/edit?usp=sharing"",""สุพรรณบุรี!L477"")"),308380.0)</f>
        <v>308380</v>
      </c>
      <c r="M582" s="198"/>
      <c r="N582" s="203">
        <f>IFERROR(__xludf.DUMMYFUNCTION("IMPORTRANGE(""https://docs.google.com/spreadsheets/d/1SX6NBoVAgQJ6U1MVXOaj8PK2l7WJ3RER9xtqwdhxkhw/edit?usp=sharing"",""สุพรรณบุรี!M477"")"),52838.73)</f>
        <v>52838.73</v>
      </c>
      <c r="O582" s="203">
        <f t="shared" si="125"/>
        <v>17.13429211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IFERROR(__xludf.DUMMYFUNCTION("IMPORTRANGE(""https://docs.google.com/spreadsheets/d/1SX6NBoVAgQJ6U1MVXOaj8PK2l7WJ3RER9xtqwdhxkhw/edit?usp=sharing"",""สุพรรณบุรี!L478"")"),0.0)</f>
        <v>0</v>
      </c>
      <c r="M583" s="203"/>
      <c r="N583" s="203">
        <f>IFERROR(__xludf.DUMMYFUNCTION("IMPORTRANGE(""https://docs.google.com/spreadsheets/d/1SX6NBoVAgQJ6U1MVXOaj8PK2l7WJ3RER9xtqwdhxkhw/edit?usp=sharing"",""สุพรรณบุรี!M478"")"),0.0)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IFERROR(__xludf.DUMMYFUNCTION("IMPORTRANGE(""https://docs.google.com/spreadsheets/d/1SX6NBoVAgQJ6U1MVXOaj8PK2l7WJ3RER9xtqwdhxkhw/edit?usp=sharing"",""สุพรรณบุรี!L479"")"),308380.0)</f>
        <v>308380</v>
      </c>
      <c r="M584" s="203"/>
      <c r="N584" s="203">
        <f>IFERROR(__xludf.DUMMYFUNCTION("IMPORTRANGE(""https://docs.google.com/spreadsheets/d/1SX6NBoVAgQJ6U1MVXOaj8PK2l7WJ3RER9xtqwdhxkhw/edit?usp=sharing"",""สุพรรณบุรี!M479"")"),52838.73)</f>
        <v>52838.73</v>
      </c>
      <c r="O584" s="203">
        <f t="shared" si="125"/>
        <v>17.13429211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IFERROR(__xludf.DUMMYFUNCTION("IMPORTRANGE(""https://docs.google.com/spreadsheets/d/1SX6NBoVAgQJ6U1MVXOaj8PK2l7WJ3RER9xtqwdhxkhw/edit?usp=sharing"",""สุพรรณบุรี!M480"")"),0.0)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IFERROR(__xludf.DUMMYFUNCTION("IMPORTRANGE(""https://docs.google.com/spreadsheets/d/1SX6NBoVAgQJ6U1MVXOaj8PK2l7WJ3RER9xtqwdhxkhw/edit?usp=sharing"",""สุพรรณบุรี!M481"")"),0.0)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IFERROR(__xludf.DUMMYFUNCTION("IMPORTRANGE(""https://docs.google.com/spreadsheets/d/1SX6NBoVAgQJ6U1MVXOaj8PK2l7WJ3RER9xtqwdhxkhw/edit?usp=sharing"",""สุพรรณบุรี!M482"")"),34838.73)</f>
        <v>34838.73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IFERROR(__xludf.DUMMYFUNCTION("IMPORTRANGE(""https://docs.google.com/spreadsheets/d/1SX6NBoVAgQJ6U1MVXOaj8PK2l7WJ3RER9xtqwdhxkhw/edit?usp=sharing"",""สุพรรณบุรี!M483"")"),18000.0)</f>
        <v>18000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IFERROR(__xludf.DUMMYFUNCTION("IMPORTRANGE(""https://docs.google.com/spreadsheets/d/1SX6NBoVAgQJ6U1MVXOaj8PK2l7WJ3RER9xtqwdhxkhw/edit?usp=sharing"",""สุพรรณบุรี!I484"")"),80.0)</f>
        <v>80</v>
      </c>
      <c r="J589" s="222">
        <f>IFERROR(__xludf.DUMMYFUNCTION("IMPORTRANGE(""https://docs.google.com/spreadsheets/d/1SX6NBoVAgQJ6U1MVXOaj8PK2l7WJ3RER9xtqwdhxkhw/edit?usp=sharing"",""สุพรรณบุรี!J484"")"),68.0)</f>
        <v>68</v>
      </c>
      <c r="K589" s="196">
        <f t="shared" ref="K589:K596" si="126">IF(I589&gt;0,J589*100/I589,0)</f>
        <v>85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IFERROR(__xludf.DUMMYFUNCTION("IMPORTRANGE(""https://docs.google.com/spreadsheets/d/1SX6NBoVAgQJ6U1MVXOaj8PK2l7WJ3RER9xtqwdhxkhw/edit?usp=sharing"",""สุพรรณบุรี!I485"")"),0.0)</f>
        <v>0</v>
      </c>
      <c r="J590" s="222">
        <f>IFERROR(__xludf.DUMMYFUNCTION("IMPORTRANGE(""https://docs.google.com/spreadsheets/d/1SX6NBoVAgQJ6U1MVXOaj8PK2l7WJ3RER9xtqwdhxkhw/edit?usp=sharing"",""สุพรรณบุรี!J485"")"),37.57)</f>
        <v>37.57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IFERROR(__xludf.DUMMYFUNCTION("IMPORTRANGE(""https://docs.google.com/spreadsheets/d/1SX6NBoVAgQJ6U1MVXOaj8PK2l7WJ3RER9xtqwdhxkhw/edit?usp=sharing"",""สุพรรณบุรี!I486"")"),80.0)</f>
        <v>80</v>
      </c>
      <c r="J591" s="222">
        <f>IFERROR(__xludf.DUMMYFUNCTION("IMPORTRANGE(""https://docs.google.com/spreadsheets/d/1SX6NBoVAgQJ6U1MVXOaj8PK2l7WJ3RER9xtqwdhxkhw/edit?usp=sharing"",""สุพรรณบุรี!J486"")"),6.0)</f>
        <v>6</v>
      </c>
      <c r="K591" s="196">
        <f t="shared" si="126"/>
        <v>7.5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IFERROR(__xludf.DUMMYFUNCTION("IMPORTRANGE(""https://docs.google.com/spreadsheets/d/1SX6NBoVAgQJ6U1MVXOaj8PK2l7WJ3RER9xtqwdhxkhw/edit?usp=sharing"",""สุพรรณบุรี!I487"")"),0.0)</f>
        <v>0</v>
      </c>
      <c r="J592" s="222">
        <f>IFERROR(__xludf.DUMMYFUNCTION("IMPORTRANGE(""https://docs.google.com/spreadsheets/d/1SX6NBoVAgQJ6U1MVXOaj8PK2l7WJ3RER9xtqwdhxkhw/edit?usp=sharing"",""สุพรรณบุรี!J487"")"),4.67)</f>
        <v>4.67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IFERROR(__xludf.DUMMYFUNCTION("IMPORTRANGE(""https://docs.google.com/spreadsheets/d/1SX6NBoVAgQJ6U1MVXOaj8PK2l7WJ3RER9xtqwdhxkhw/edit?usp=sharing"",""สุพรรณบุรี!I488"")"),80.0)</f>
        <v>80</v>
      </c>
      <c r="J593" s="222">
        <f>IFERROR(__xludf.DUMMYFUNCTION("IMPORTRANGE(""https://docs.google.com/spreadsheets/d/1SX6NBoVAgQJ6U1MVXOaj8PK2l7WJ3RER9xtqwdhxkhw/edit?usp=sharing"",""สุพรรณบุรี!J488"")"),0.0)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IFERROR(__xludf.DUMMYFUNCTION("IMPORTRANGE(""https://docs.google.com/spreadsheets/d/1SX6NBoVAgQJ6U1MVXOaj8PK2l7WJ3RER9xtqwdhxkhw/edit?usp=sharing"",""สุพรรณบุรี!I489"")"),0.0)</f>
        <v>0</v>
      </c>
      <c r="J594" s="222">
        <f>IFERROR(__xludf.DUMMYFUNCTION("IMPORTRANGE(""https://docs.google.com/spreadsheets/d/1SX6NBoVAgQJ6U1MVXOaj8PK2l7WJ3RER9xtqwdhxkhw/edit?usp=sharing"",""สุพรรณบุรี!J489"")"),0.0)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IFERROR(__xludf.DUMMYFUNCTION("IMPORTRANGE(""https://docs.google.com/spreadsheets/d/1SX6NBoVAgQJ6U1MVXOaj8PK2l7WJ3RER9xtqwdhxkhw/edit?usp=sharing"",""สุพรรณบุรี!I490"")"),80.0)</f>
        <v>80</v>
      </c>
      <c r="J595" s="222">
        <f>IFERROR(__xludf.DUMMYFUNCTION("IMPORTRANGE(""https://docs.google.com/spreadsheets/d/1SX6NBoVAgQJ6U1MVXOaj8PK2l7WJ3RER9xtqwdhxkhw/edit?usp=sharing"",""สุพรรณบุรี!J490"")"),6.0)</f>
        <v>6</v>
      </c>
      <c r="K595" s="196">
        <f t="shared" si="126"/>
        <v>7.5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IFERROR(__xludf.DUMMYFUNCTION("IMPORTRANGE(""https://docs.google.com/spreadsheets/d/1SX6NBoVAgQJ6U1MVXOaj8PK2l7WJ3RER9xtqwdhxkhw/edit?usp=sharing"",""สุพรรณบุรี!I491"")"),0.0)</f>
        <v>0</v>
      </c>
      <c r="J596" s="275">
        <f>IFERROR(__xludf.DUMMYFUNCTION("IMPORTRANGE(""https://docs.google.com/spreadsheets/d/1SX6NBoVAgQJ6U1MVXOaj8PK2l7WJ3RER9xtqwdhxkhw/edit?usp=sharing"",""สุพรรณบุรี!J491"")"),4.67)</f>
        <v>4.67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IFERROR(__xludf.DUMMYFUNCTION("IMPORTRANGE(""https://docs.google.com/spreadsheets/d/1SX6NBoVAgQJ6U1MVXOaj8PK2l7WJ3RER9xtqwdhxkhw/edit?usp=sharing"",""สุพรรณบุรี!I492"")"),100.0)</f>
        <v>100</v>
      </c>
      <c r="J597" s="520">
        <f>IFERROR(__xludf.DUMMYFUNCTION("IMPORTRANGE(""https://docs.google.com/spreadsheets/d/1SX6NBoVAgQJ6U1MVXOaj8PK2l7WJ3RER9xtqwdhxkhw/edit?usp=sharing"",""สุพรรณบุรี!J492"")"),0.0)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IFERROR(__xludf.DUMMYFUNCTION("IMPORTRANGE(""https://docs.google.com/spreadsheets/d/1SX6NBoVAgQJ6U1MVXOaj8PK2l7WJ3RER9xtqwdhxkhw/edit?usp=sharing"",""สุพรรณบุรี!L492"")"),8900.0)</f>
        <v>8900</v>
      </c>
      <c r="M597" s="445"/>
      <c r="N597" s="445">
        <f>IFERROR(__xludf.DUMMYFUNCTION("IMPORTRANGE(""https://docs.google.com/spreadsheets/d/1SX6NBoVAgQJ6U1MVXOaj8PK2l7WJ3RER9xtqwdhxkhw/edit?usp=sharing"",""สุพรรณบุรี!M492"")"),1800.0)</f>
        <v>1800</v>
      </c>
      <c r="O597" s="445">
        <f t="shared" ref="O597:O601" si="127">+IF(L597&gt;0,N597*100/L597,0)</f>
        <v>20.2247191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IFERROR(__xludf.DUMMYFUNCTION("IMPORTRANGE(""https://docs.google.com/spreadsheets/d/1SX6NBoVAgQJ6U1MVXOaj8PK2l7WJ3RER9xtqwdhxkhw/edit?usp=sharing"",""สุพรรณบุรี!L493"")"),0.0)</f>
        <v>0</v>
      </c>
      <c r="M598" s="197"/>
      <c r="N598" s="203">
        <f>IFERROR(__xludf.DUMMYFUNCTION("IMPORTRANGE(""https://docs.google.com/spreadsheets/d/1SX6NBoVAgQJ6U1MVXOaj8PK2l7WJ3RER9xtqwdhxkhw/edit?usp=sharing"",""สุพรรณบุรี!M493"")"),0.0)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IFERROR(__xludf.DUMMYFUNCTION("IMPORTRANGE(""https://docs.google.com/spreadsheets/d/1SX6NBoVAgQJ6U1MVXOaj8PK2l7WJ3RER9xtqwdhxkhw/edit?usp=sharing"",""สุพรรณบุรี!L494"")"),8900.0)</f>
        <v>8900</v>
      </c>
      <c r="M599" s="198"/>
      <c r="N599" s="203">
        <f>IFERROR(__xludf.DUMMYFUNCTION("IMPORTRANGE(""https://docs.google.com/spreadsheets/d/1SX6NBoVAgQJ6U1MVXOaj8PK2l7WJ3RER9xtqwdhxkhw/edit?usp=sharing"",""สุพรรณบุรี!M494"")"),1800.0)</f>
        <v>1800</v>
      </c>
      <c r="O599" s="203">
        <f t="shared" si="127"/>
        <v>20.2247191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IFERROR(__xludf.DUMMYFUNCTION("IMPORTRANGE(""https://docs.google.com/spreadsheets/d/1SX6NBoVAgQJ6U1MVXOaj8PK2l7WJ3RER9xtqwdhxkhw/edit?usp=sharing"",""สุพรรณบุรี!L495"")"),0.0)</f>
        <v>0</v>
      </c>
      <c r="M600" s="203"/>
      <c r="N600" s="203">
        <f>IFERROR(__xludf.DUMMYFUNCTION("IMPORTRANGE(""https://docs.google.com/spreadsheets/d/1SX6NBoVAgQJ6U1MVXOaj8PK2l7WJ3RER9xtqwdhxkhw/edit?usp=sharing"",""สุพรรณบุรี!M495"")"),0.0)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IFERROR(__xludf.DUMMYFUNCTION("IMPORTRANGE(""https://docs.google.com/spreadsheets/d/1SX6NBoVAgQJ6U1MVXOaj8PK2l7WJ3RER9xtqwdhxkhw/edit?usp=sharing"",""สุพรรณบุรี!L496"")"),8900.0)</f>
        <v>8900</v>
      </c>
      <c r="M601" s="203"/>
      <c r="N601" s="203">
        <f>IFERROR(__xludf.DUMMYFUNCTION("IMPORTRANGE(""https://docs.google.com/spreadsheets/d/1SX6NBoVAgQJ6U1MVXOaj8PK2l7WJ3RER9xtqwdhxkhw/edit?usp=sharing"",""สุพรรณบุรี!M496"")"),1800.0)</f>
        <v>1800</v>
      </c>
      <c r="O601" s="203">
        <f t="shared" si="127"/>
        <v>20.2247191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IFERROR(__xludf.DUMMYFUNCTION("IMPORTRANGE(""https://docs.google.com/spreadsheets/d/1SX6NBoVAgQJ6U1MVXOaj8PK2l7WJ3RER9xtqwdhxkhw/edit?usp=sharing"",""สุพรรณบุรี!M497"")"),0.0)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IFERROR(__xludf.DUMMYFUNCTION("IMPORTRANGE(""https://docs.google.com/spreadsheets/d/1SX6NBoVAgQJ6U1MVXOaj8PK2l7WJ3RER9xtqwdhxkhw/edit?usp=sharing"",""สุพรรณบุรี!M498"")"),0.0)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IFERROR(__xludf.DUMMYFUNCTION("IMPORTRANGE(""https://docs.google.com/spreadsheets/d/1SX6NBoVAgQJ6U1MVXOaj8PK2l7WJ3RER9xtqwdhxkhw/edit?usp=sharing"",""สุพรรณบุรี!M499"")"),0.0)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IFERROR(__xludf.DUMMYFUNCTION("IMPORTRANGE(""https://docs.google.com/spreadsheets/d/1SX6NBoVAgQJ6U1MVXOaj8PK2l7WJ3RER9xtqwdhxkhw/edit?usp=sharing"",""สุพรรณบุรี!M500"")"),1800.0)</f>
        <v>1800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IFERROR(__xludf.DUMMYFUNCTION("IMPORTRANGE(""https://docs.google.com/spreadsheets/d/1SX6NBoVAgQJ6U1MVXOaj8PK2l7WJ3RER9xtqwdhxkhw/edit?usp=sharing"",""สุพรรณบุรี!J502"")"),0.0)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IFERROR(__xludf.DUMMYFUNCTION("IMPORTRANGE(""https://docs.google.com/spreadsheets/d/1SX6NBoVAgQJ6U1MVXOaj8PK2l7WJ3RER9xtqwdhxkhw/edit?usp=sharing"",""สุพรรณบุรี!J503"")"),1.0)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IFERROR(__xludf.DUMMYFUNCTION("IMPORTRANGE(""https://docs.google.com/spreadsheets/d/1SX6NBoVAgQJ6U1MVXOaj8PK2l7WJ3RER9xtqwdhxkhw/edit?usp=sharing"",""สุพรรณบุรี!J166"")"),0.0)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IFERROR(__xludf.DUMMYFUNCTION("IMPORTRANGE(""https://docs.google.com/spreadsheets/d/1SX6NBoVAgQJ6U1MVXOaj8PK2l7WJ3RER9xtqwdhxkhw/edit?usp=sharing"",""สุพรรณบุรี!J166"")"),0.0)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IFERROR(__xludf.DUMMYFUNCTION("IMPORTRANGE(""https://docs.google.com/spreadsheets/d/1SX6NBoVAgQJ6U1MVXOaj8PK2l7WJ3RER9xtqwdhxkhw/edit?usp=sharing"",""สุพรรณบุรี!I506"")"),100.0)</f>
        <v>100</v>
      </c>
      <c r="J611" s="195">
        <f>IFERROR(__xludf.DUMMYFUNCTION("IMPORTRANGE(""https://docs.google.com/spreadsheets/d/1SX6NBoVAgQJ6U1MVXOaj8PK2l7WJ3RER9xtqwdhxkhw/edit?usp=sharing"",""สุพรรณบุรี!J506"")"),0.0)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IFERROR(__xludf.DUMMYFUNCTION("IMPORTRANGE(""https://docs.google.com/spreadsheets/d/1SX6NBoVAgQJ6U1MVXOaj8PK2l7WJ3RER9xtqwdhxkhw/edit?usp=sharing"",""สุพรรณบุรี!I507"")"),0.0)</f>
        <v>0</v>
      </c>
      <c r="J612" s="232">
        <f>IFERROR(__xludf.DUMMYFUNCTION("IMPORTRANGE(""https://docs.google.com/spreadsheets/d/1SX6NBoVAgQJ6U1MVXOaj8PK2l7WJ3RER9xtqwdhxkhw/edit?usp=sharing"",""สุพรรณบุรี!J507"")"),0.0)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IFERROR(__xludf.DUMMYFUNCTION("IMPORTRANGE(""https://docs.google.com/spreadsheets/d/1SX6NBoVAgQJ6U1MVXOaj8PK2l7WJ3RER9xtqwdhxkhw/edit?usp=sharing"",""สุพรรณบุรี!I508"")"),0.0)</f>
        <v>0</v>
      </c>
      <c r="J613" s="232">
        <f>IFERROR(__xludf.DUMMYFUNCTION("IMPORTRANGE(""https://docs.google.com/spreadsheets/d/1SX6NBoVAgQJ6U1MVXOaj8PK2l7WJ3RER9xtqwdhxkhw/edit?usp=sharing"",""สุพรรณบุรี!J508"")"),0.0)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IFERROR(__xludf.DUMMYFUNCTION("IMPORTRANGE(""https://docs.google.com/spreadsheets/d/1SX6NBoVAgQJ6U1MVXOaj8PK2l7WJ3RER9xtqwdhxkhw/edit?usp=sharing"",""สุพรรณบุรี!I509"")"),0.0)</f>
        <v>0</v>
      </c>
      <c r="J614" s="232">
        <f>IFERROR(__xludf.DUMMYFUNCTION("IMPORTRANGE(""https://docs.google.com/spreadsheets/d/1SX6NBoVAgQJ6U1MVXOaj8PK2l7WJ3RER9xtqwdhxkhw/edit?usp=sharing"",""สุพรรณบุรี!J509"")"),0.0)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IFERROR(__xludf.DUMMYFUNCTION("IMPORTRANGE(""https://docs.google.com/spreadsheets/d/1SX6NBoVAgQJ6U1MVXOaj8PK2l7WJ3RER9xtqwdhxkhw/edit?usp=sharing"",""สุพรรณบุรี!I510"")"),0.0)</f>
        <v>0</v>
      </c>
      <c r="J615" s="232">
        <f>IFERROR(__xludf.DUMMYFUNCTION("IMPORTRANGE(""https://docs.google.com/spreadsheets/d/1SX6NBoVAgQJ6U1MVXOaj8PK2l7WJ3RER9xtqwdhxkhw/edit?usp=sharing"",""สุพรรณบุรี!J510"")"),0.0)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IFERROR(__xludf.DUMMYFUNCTION("IMPORTRANGE(""https://docs.google.com/spreadsheets/d/1SX6NBoVAgQJ6U1MVXOaj8PK2l7WJ3RER9xtqwdhxkhw/edit?usp=sharing"",""สุพรรณบุรี!I511"")"),0.0)</f>
        <v>0</v>
      </c>
      <c r="J616" s="232">
        <f>IFERROR(__xludf.DUMMYFUNCTION("IMPORTRANGE(""https://docs.google.com/spreadsheets/d/1SX6NBoVAgQJ6U1MVXOaj8PK2l7WJ3RER9xtqwdhxkhw/edit?usp=sharing"",""สุพรรณบุรี!J511"")"),0.0)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IFERROR(__xludf.DUMMYFUNCTION("IMPORTRANGE(""https://docs.google.com/spreadsheets/d/1SX6NBoVAgQJ6U1MVXOaj8PK2l7WJ3RER9xtqwdhxkhw/edit?usp=sharing"",""สุพรรณบุรี!I512"")"),0.0)</f>
        <v>0</v>
      </c>
      <c r="J617" s="222">
        <f>IFERROR(__xludf.DUMMYFUNCTION("IMPORTRANGE(""https://docs.google.com/spreadsheets/d/1SX6NBoVAgQJ6U1MVXOaj8PK2l7WJ3RER9xtqwdhxkhw/edit?usp=sharing"",""สุพรรณบุรี!J512"")"),0.0)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IFERROR(__xludf.DUMMYFUNCTION("IMPORTRANGE(""https://docs.google.com/spreadsheets/d/1SX6NBoVAgQJ6U1MVXOaj8PK2l7WJ3RER9xtqwdhxkhw/edit?usp=sharing"",""สุพรรณบุรี!I513"")"),0.0)</f>
        <v>0</v>
      </c>
      <c r="J618" s="223">
        <f>IFERROR(__xludf.DUMMYFUNCTION("IMPORTRANGE(""https://docs.google.com/spreadsheets/d/1SX6NBoVAgQJ6U1MVXOaj8PK2l7WJ3RER9xtqwdhxkhw/edit?usp=sharing"",""สุพรรณบุรี!J513"")"),0.0)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IFERROR(__xludf.DUMMYFUNCTION("IMPORTRANGE(""https://docs.google.com/spreadsheets/d/1SX6NBoVAgQJ6U1MVXOaj8PK2l7WJ3RER9xtqwdhxkhw/edit?usp=sharing"",""สุพรรณบุรี!I514"")"),0.0)</f>
        <v>0</v>
      </c>
      <c r="J619" s="223">
        <f>IFERROR(__xludf.DUMMYFUNCTION("IMPORTRANGE(""https://docs.google.com/spreadsheets/d/1SX6NBoVAgQJ6U1MVXOaj8PK2l7WJ3RER9xtqwdhxkhw/edit?usp=sharing"",""สุพรรณบุรี!J514"")"),0.0)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IFERROR(__xludf.DUMMYFUNCTION("IMPORTRANGE(""https://docs.google.com/spreadsheets/d/1SX6NBoVAgQJ6U1MVXOaj8PK2l7WJ3RER9xtqwdhxkhw/edit?usp=sharing"",""สุพรรณบุรี!I515"")"),73.0)</f>
        <v>73</v>
      </c>
      <c r="J620" s="237">
        <f>IFERROR(__xludf.DUMMYFUNCTION("IMPORTRANGE(""https://docs.google.com/spreadsheets/d/1SX6NBoVAgQJ6U1MVXOaj8PK2l7WJ3RER9xtqwdhxkhw/edit?usp=sharing"",""สุพรรณบุรี!J515"")"),0.0)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IFERROR(__xludf.DUMMYFUNCTION("IMPORTRANGE(""https://docs.google.com/spreadsheets/d/1SX6NBoVAgQJ6U1MVXOaj8PK2l7WJ3RER9xtqwdhxkhw/edit?usp=sharing"",""สุพรรณบุรี!I516"")"),0.0)</f>
        <v>0</v>
      </c>
      <c r="J621" s="237">
        <f>IFERROR(__xludf.DUMMYFUNCTION("IMPORTRANGE(""https://docs.google.com/spreadsheets/d/1SX6NBoVAgQJ6U1MVXOaj8PK2l7WJ3RER9xtqwdhxkhw/edit?usp=sharing"",""สุพรรณบุรี!J516"")"),0.0)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IFERROR(__xludf.DUMMYFUNCTION("IMPORTRANGE(""https://docs.google.com/spreadsheets/d/1SX6NBoVAgQJ6U1MVXOaj8PK2l7WJ3RER9xtqwdhxkhw/edit?usp=sharing"",""สุพรรณบุรี!I517"")"),0.0)</f>
        <v>0</v>
      </c>
      <c r="J622" s="223">
        <f>IFERROR(__xludf.DUMMYFUNCTION("IMPORTRANGE(""https://docs.google.com/spreadsheets/d/1SX6NBoVAgQJ6U1MVXOaj8PK2l7WJ3RER9xtqwdhxkhw/edit?usp=sharing"",""สุพรรณบุรี!J517"")"),0.0)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IFERROR(__xludf.DUMMYFUNCTION("IMPORTRANGE(""https://docs.google.com/spreadsheets/d/1SX6NBoVAgQJ6U1MVXOaj8PK2l7WJ3RER9xtqwdhxkhw/edit?usp=sharing"",""สุพรรณบุรี!I518"")"),0.0)</f>
        <v>0</v>
      </c>
      <c r="J623" s="223">
        <f>IFERROR(__xludf.DUMMYFUNCTION("IMPORTRANGE(""https://docs.google.com/spreadsheets/d/1SX6NBoVAgQJ6U1MVXOaj8PK2l7WJ3RER9xtqwdhxkhw/edit?usp=sharing"",""สุพรรณบุรี!J518"")"),0.0)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IFERROR(__xludf.DUMMYFUNCTION("IMPORTRANGE(""https://docs.google.com/spreadsheets/d/1SX6NBoVAgQJ6U1MVXOaj8PK2l7WJ3RER9xtqwdhxkhw/edit?usp=sharing"",""สุพรรณบุรี!I519"")"),0.0)</f>
        <v>0</v>
      </c>
      <c r="J624" s="222">
        <f>IFERROR(__xludf.DUMMYFUNCTION("IMPORTRANGE(""https://docs.google.com/spreadsheets/d/1SX6NBoVAgQJ6U1MVXOaj8PK2l7WJ3RER9xtqwdhxkhw/edit?usp=sharing"",""สุพรรณบุรี!J519"")"),0.0)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IFERROR(__xludf.DUMMYFUNCTION("IMPORTRANGE(""https://docs.google.com/spreadsheets/d/1SX6NBoVAgQJ6U1MVXOaj8PK2l7WJ3RER9xtqwdhxkhw/edit?usp=sharing"",""สุพรรณบุรี!I520"")"),0.0)</f>
        <v>0</v>
      </c>
      <c r="J625" s="223">
        <f>IFERROR(__xludf.DUMMYFUNCTION("IMPORTRANGE(""https://docs.google.com/spreadsheets/d/1SX6NBoVAgQJ6U1MVXOaj8PK2l7WJ3RER9xtqwdhxkhw/edit?usp=sharing"",""สุพรรณบุรี!J520"")"),0.0)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IFERROR(__xludf.DUMMYFUNCTION("IMPORTRANGE(""https://docs.google.com/spreadsheets/d/1SX6NBoVAgQJ6U1MVXOaj8PK2l7WJ3RER9xtqwdhxkhw/edit?usp=sharing"",""สุพรรณบุรี!I521"")"),0.0)</f>
        <v>0</v>
      </c>
      <c r="J626" s="223">
        <f>IFERROR(__xludf.DUMMYFUNCTION("IMPORTRANGE(""https://docs.google.com/spreadsheets/d/1SX6NBoVAgQJ6U1MVXOaj8PK2l7WJ3RER9xtqwdhxkhw/edit?usp=sharing"",""สุพรรณบุรี!J521"")"),0.0)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IFERROR(__xludf.DUMMYFUNCTION("IMPORTRANGE(""https://docs.google.com/spreadsheets/d/1SX6NBoVAgQJ6U1MVXOaj8PK2l7WJ3RER9xtqwdhxkhw/edit?usp=sharing"",""สุพรรณบุรี!I523"")"),2.178747979E7)</f>
        <v>21787479.79</v>
      </c>
      <c r="J628" s="374">
        <f>IFERROR(__xludf.DUMMYFUNCTION("IMPORTRANGE(""https://docs.google.com/spreadsheets/d/1SX6NBoVAgQJ6U1MVXOaj8PK2l7WJ3RER9xtqwdhxkhw/edit?usp=sharing"",""สุพรรณบุรี!J523"")"),1080000.0)</f>
        <v>1080000</v>
      </c>
      <c r="K628" s="375">
        <f t="shared" ref="K628:K635" si="130">IF(I628&gt;0,J628*100/I628,0)</f>
        <v>4.956975338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IFERROR(__xludf.DUMMYFUNCTION("IMPORTRANGE(""https://docs.google.com/spreadsheets/d/1SX6NBoVAgQJ6U1MVXOaj8PK2l7WJ3RER9xtqwdhxkhw/edit?usp=sharing"",""สุพรรณบุรี!I524"")"),514.0)</f>
        <v>514</v>
      </c>
      <c r="J629" s="374">
        <f>IFERROR(__xludf.DUMMYFUNCTION("IMPORTRANGE(""https://docs.google.com/spreadsheets/d/1SX6NBoVAgQJ6U1MVXOaj8PK2l7WJ3RER9xtqwdhxkhw/edit?usp=sharing"",""สุพรรณบุรี!J524"")"),30.0)</f>
        <v>30</v>
      </c>
      <c r="K629" s="375">
        <f t="shared" si="130"/>
        <v>5.836575875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IFERROR(__xludf.DUMMYFUNCTION("IMPORTRANGE(""https://docs.google.com/spreadsheets/d/1SX6NBoVAgQJ6U1MVXOaj8PK2l7WJ3RER9xtqwdhxkhw/edit?usp=sharing"",""สุพรรณบุรี!I525"")"),3870443.59)</f>
        <v>3870443.59</v>
      </c>
      <c r="J630" s="374">
        <f>IFERROR(__xludf.DUMMYFUNCTION("IMPORTRANGE(""https://docs.google.com/spreadsheets/d/1SX6NBoVAgQJ6U1MVXOaj8PK2l7WJ3RER9xtqwdhxkhw/edit?usp=sharing"",""สุพรรณบุรี!J525"")"),124403.4)</f>
        <v>124403.4</v>
      </c>
      <c r="K630" s="375">
        <f t="shared" si="130"/>
        <v>3.21418972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IFERROR(__xludf.DUMMYFUNCTION("IMPORTRANGE(""https://docs.google.com/spreadsheets/d/1SX6NBoVAgQJ6U1MVXOaj8PK2l7WJ3RER9xtqwdhxkhw/edit?usp=sharing"",""สุพรรณบุรี!I526"")"),79.0)</f>
        <v>79</v>
      </c>
      <c r="J631" s="374">
        <f>IFERROR(__xludf.DUMMYFUNCTION("IMPORTRANGE(""https://docs.google.com/spreadsheets/d/1SX6NBoVAgQJ6U1MVXOaj8PK2l7WJ3RER9xtqwdhxkhw/edit?usp=sharing"",""สุพรรณบุรี!J526"")"),56.0)</f>
        <v>56</v>
      </c>
      <c r="K631" s="375">
        <f t="shared" si="130"/>
        <v>70.88607595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IFERROR(__xludf.DUMMYFUNCTION("IMPORTRANGE(""https://docs.google.com/spreadsheets/d/1SX6NBoVAgQJ6U1MVXOaj8PK2l7WJ3RER9xtqwdhxkhw/edit?usp=sharing"",""สุพรรณบุรี!I527"")"),2331038.08)</f>
        <v>2331038.08</v>
      </c>
      <c r="J632" s="374">
        <f>IFERROR(__xludf.DUMMYFUNCTION("IMPORTRANGE(""https://docs.google.com/spreadsheets/d/1SX6NBoVAgQJ6U1MVXOaj8PK2l7WJ3RER9xtqwdhxkhw/edit?usp=sharing"",""สุพรรณบุรี!J527"")"),222790.32)</f>
        <v>222790.32</v>
      </c>
      <c r="K632" s="375">
        <f t="shared" si="130"/>
        <v>9.55755815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IFERROR(__xludf.DUMMYFUNCTION("IMPORTRANGE(""https://docs.google.com/spreadsheets/d/1SX6NBoVAgQJ6U1MVXOaj8PK2l7WJ3RER9xtqwdhxkhw/edit?usp=sharing"",""สุพรรณบุรี!I528"")"),528.0)</f>
        <v>528</v>
      </c>
      <c r="J633" s="374">
        <f>IFERROR(__xludf.DUMMYFUNCTION("IMPORTRANGE(""https://docs.google.com/spreadsheets/d/1SX6NBoVAgQJ6U1MVXOaj8PK2l7WJ3RER9xtqwdhxkhw/edit?usp=sharing"",""สุพรรณบุรี!J528"")"),78.0)</f>
        <v>78</v>
      </c>
      <c r="K633" s="375">
        <f t="shared" si="130"/>
        <v>14.77272727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IFERROR(__xludf.DUMMYFUNCTION("IMPORTRANGE(""https://docs.google.com/spreadsheets/d/1SX6NBoVAgQJ6U1MVXOaj8PK2l7WJ3RER9xtqwdhxkhw/edit?usp=sharing"",""สุพรรณบุรี!I529"")"),2.294E7)</f>
        <v>22940000</v>
      </c>
      <c r="J634" s="374">
        <f>IFERROR(__xludf.DUMMYFUNCTION("IMPORTRANGE(""https://docs.google.com/spreadsheets/d/1SX6NBoVAgQJ6U1MVXOaj8PK2l7WJ3RER9xtqwdhxkhw/edit?usp=sharing"",""สุพรรณบุรี!J529"")"),1180000.0)</f>
        <v>1180000</v>
      </c>
      <c r="K634" s="375">
        <f t="shared" si="130"/>
        <v>5.143853531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IFERROR(__xludf.DUMMYFUNCTION("IMPORTRANGE(""https://docs.google.com/spreadsheets/d/1SX6NBoVAgQJ6U1MVXOaj8PK2l7WJ3RER9xtqwdhxkhw/edit?usp=sharing"",""สุพรรณบุรี!I530"")"),568.0)</f>
        <v>568</v>
      </c>
      <c r="J635" s="544">
        <f>IFERROR(__xludf.DUMMYFUNCTION("IMPORTRANGE(""https://docs.google.com/spreadsheets/d/1SX6NBoVAgQJ6U1MVXOaj8PK2l7WJ3RER9xtqwdhxkhw/edit?usp=sharing"",""สุพรรณบุรี!J530"")"),30.0)</f>
        <v>30</v>
      </c>
      <c r="K635" s="519">
        <f t="shared" si="130"/>
        <v>5.281690141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279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1998350</v>
      </c>
      <c r="M8" s="41">
        <f t="shared" si="1"/>
        <v>775810</v>
      </c>
      <c r="N8" s="41">
        <f t="shared" si="1"/>
        <v>760636</v>
      </c>
      <c r="O8" s="40">
        <f t="shared" ref="O8:O16" si="3">IF(L8&gt;0,N8*100/L8,0)</f>
        <v>38.06320214</v>
      </c>
      <c r="P8" s="40">
        <f t="shared" ref="P8:P16" si="4">IF(M8&gt;0,N8*100/M8,0)</f>
        <v>98.04410874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1998350</v>
      </c>
      <c r="M10" s="48">
        <f t="shared" si="5"/>
        <v>775810</v>
      </c>
      <c r="N10" s="48">
        <f t="shared" si="5"/>
        <v>760636</v>
      </c>
      <c r="O10" s="47">
        <f t="shared" si="3"/>
        <v>38.06320214</v>
      </c>
      <c r="P10" s="47">
        <f t="shared" si="4"/>
        <v>98.04410874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1851350</v>
      </c>
      <c r="M12" s="58">
        <f t="shared" si="7"/>
        <v>775810</v>
      </c>
      <c r="N12" s="58">
        <f t="shared" si="7"/>
        <v>621636</v>
      </c>
      <c r="O12" s="58">
        <f t="shared" si="3"/>
        <v>33.57744349</v>
      </c>
      <c r="P12" s="58">
        <f t="shared" si="4"/>
        <v>80.12735077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1449900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401450</v>
      </c>
      <c r="M14" s="58">
        <f t="shared" si="9"/>
        <v>0</v>
      </c>
      <c r="N14" s="58">
        <f t="shared" si="9"/>
        <v>37426</v>
      </c>
      <c r="O14" s="61">
        <f t="shared" si="3"/>
        <v>9.322705194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139000</v>
      </c>
      <c r="O16" s="70">
        <f t="shared" si="3"/>
        <v>94.55782313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1673410</v>
      </c>
      <c r="M18" s="41">
        <f t="shared" si="12"/>
        <v>775810</v>
      </c>
      <c r="N18" s="41">
        <f t="shared" si="12"/>
        <v>723210</v>
      </c>
      <c r="O18" s="40">
        <f t="shared" ref="O18:O20" si="14">IF(L18&gt;0,N18*100/L18,0)</f>
        <v>43.21774102</v>
      </c>
      <c r="P18" s="40">
        <f t="shared" ref="P18:P26" si="15">IF(M18&gt;0,N18*100/M18,0)</f>
        <v>93.21998943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1673410</v>
      </c>
      <c r="M20" s="48">
        <f t="shared" si="16"/>
        <v>775810</v>
      </c>
      <c r="N20" s="48">
        <f t="shared" si="16"/>
        <v>723210</v>
      </c>
      <c r="O20" s="47">
        <f t="shared" si="14"/>
        <v>43.21774102</v>
      </c>
      <c r="P20" s="47">
        <f t="shared" si="15"/>
        <v>93.21998943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1526410</v>
      </c>
      <c r="M22" s="62">
        <f t="shared" si="18"/>
        <v>775810</v>
      </c>
      <c r="N22" s="61">
        <f t="shared" si="18"/>
        <v>584210</v>
      </c>
      <c r="O22" s="61">
        <f t="shared" si="19"/>
        <v>38.27346519</v>
      </c>
      <c r="P22" s="61">
        <f t="shared" si="15"/>
        <v>75.30323146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1449900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76510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139000</v>
      </c>
      <c r="O26" s="70">
        <f t="shared" si="19"/>
        <v>94.55782313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324940</v>
      </c>
      <c r="M28" s="41">
        <f t="shared" si="24"/>
        <v>0</v>
      </c>
      <c r="N28" s="41">
        <f t="shared" si="24"/>
        <v>37426</v>
      </c>
      <c r="O28" s="40">
        <f t="shared" ref="O28:O30" si="26">IF(L28&gt;0,N28*100/L28,0)</f>
        <v>11.51781867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324940</v>
      </c>
      <c r="M30" s="48">
        <f t="shared" si="28"/>
        <v>0</v>
      </c>
      <c r="N30" s="48">
        <f t="shared" si="28"/>
        <v>37426</v>
      </c>
      <c r="O30" s="47">
        <f t="shared" si="26"/>
        <v>11.51781867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324940</v>
      </c>
      <c r="M32" s="61">
        <f t="shared" si="30"/>
        <v>0</v>
      </c>
      <c r="N32" s="61">
        <f t="shared" si="30"/>
        <v>37426</v>
      </c>
      <c r="O32" s="61">
        <f t="shared" si="31"/>
        <v>11.51781867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324940</v>
      </c>
      <c r="M34" s="61">
        <f t="shared" si="33"/>
        <v>0</v>
      </c>
      <c r="N34" s="61">
        <f t="shared" si="33"/>
        <v>37426</v>
      </c>
      <c r="O34" s="61">
        <f t="shared" si="31"/>
        <v>11.51781867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1673410</v>
      </c>
      <c r="M37" s="75">
        <f t="shared" si="34"/>
        <v>775810</v>
      </c>
      <c r="N37" s="75">
        <f t="shared" si="34"/>
        <v>723210</v>
      </c>
      <c r="O37" s="76">
        <f t="shared" si="31"/>
        <v>43.21774102</v>
      </c>
      <c r="P37" s="76">
        <f t="shared" si="27"/>
        <v>93.21998943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836100</v>
      </c>
      <c r="M41" s="102">
        <f t="shared" si="35"/>
        <v>418100</v>
      </c>
      <c r="N41" s="102">
        <f t="shared" si="35"/>
        <v>364731</v>
      </c>
      <c r="O41" s="101">
        <f t="shared" ref="O41:O43" si="37">IF(L41&gt;0,N41*100/L41,0)</f>
        <v>43.622892</v>
      </c>
      <c r="P41" s="101">
        <f t="shared" ref="P41:P43" si="38">IF(M41&gt;0,N41*100/M41,0)</f>
        <v>87.23535039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836100</v>
      </c>
      <c r="M43" s="102">
        <f t="shared" si="39"/>
        <v>418100</v>
      </c>
      <c r="N43" s="102">
        <f t="shared" si="39"/>
        <v>364731</v>
      </c>
      <c r="O43" s="101">
        <f t="shared" si="37"/>
        <v>43.622892</v>
      </c>
      <c r="P43" s="101">
        <f t="shared" si="38"/>
        <v>87.23535039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836100</v>
      </c>
      <c r="M45" s="115">
        <f>IFERROR(__xludf.DUMMYFUNCTION("IMPORTRANGE(""https://docs.google.com/spreadsheets/d/1Yj_ptqi66GCucihVvJfMjLAmec39IyEx_6qawtMGysU/edit?usp=sharing"",""สบก!Q79"")"),418100.0)</f>
        <v>418100</v>
      </c>
      <c r="N45" s="115">
        <f>IFERROR(__xludf.DUMMYFUNCTION("IMPORTRANGE(""https://docs.google.com/spreadsheets/d/1Yj_ptqi66GCucihVvJfMjLAmec39IyEx_6qawtMGysU/edit?usp=sharing"",""สบก!R79"")"),364731.0)</f>
        <v>364731</v>
      </c>
      <c r="O45" s="116">
        <f>IF(L45&gt;0,N45*100/L45,0)</f>
        <v>43.622892</v>
      </c>
      <c r="P45" s="116">
        <f>IF(M45&gt;0,N45*100/M45,0)</f>
        <v>87.23535039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IFERROR(__xludf.DUMMYFUNCTION("IMPORTRANGE(""https://docs.google.com/spreadsheets/d/1Yj_ptqi66GCucihVvJfMjLAmec39IyEx_6qawtMGysU/edit?usp=sharing"",""สบก!M79"")"),836100.0)</f>
        <v>836100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IFERROR(__xludf.DUMMYFUNCTION("IMPORTRANGE(""https://docs.google.com/spreadsheets/d/1Yj_ptqi66GCucihVvJfMjLAmec39IyEx_6qawtMGysU/edit?usp=sharing"",""สบก!N79"")"),0.0)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IFERROR(__xludf.DUMMYFUNCTION("IMPORTRANGE(""https://docs.google.com/spreadsheets/d/1Yj_ptqi66GCucihVvJfMjLAmec39IyEx_6qawtMGysU/edit?usp=sharing"",""สบก!O79"")"),0.0)</f>
        <v>0</v>
      </c>
      <c r="M49" s="125"/>
      <c r="N49" s="115">
        <f>IFERROR(__xludf.DUMMYFUNCTION("IMPORTRANGE(""https://docs.google.com/spreadsheets/d/1Yj_ptqi66GCucihVvJfMjLAmec39IyEx_6qawtMGysU/edit?usp=sharing"",""สบก!S79"")"),0.0)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120000</v>
      </c>
      <c r="M53" s="151">
        <f t="shared" si="40"/>
        <v>69000</v>
      </c>
      <c r="N53" s="151">
        <f t="shared" si="40"/>
        <v>55532</v>
      </c>
      <c r="O53" s="150">
        <f t="shared" ref="O53:O55" si="42">IF(L53&gt;0,N53*100/L53,0)</f>
        <v>46.27666667</v>
      </c>
      <c r="P53" s="150">
        <f t="shared" ref="P53:P55" si="43">IF(M53&gt;0,N53*100/M53,0)</f>
        <v>80.48115942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120000</v>
      </c>
      <c r="M55" s="151">
        <f t="shared" si="44"/>
        <v>69000</v>
      </c>
      <c r="N55" s="151">
        <f t="shared" si="44"/>
        <v>55532</v>
      </c>
      <c r="O55" s="150">
        <f t="shared" si="42"/>
        <v>46.27666667</v>
      </c>
      <c r="P55" s="150">
        <f t="shared" si="43"/>
        <v>80.48115942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120000</v>
      </c>
      <c r="M57" s="115">
        <f>IFERROR(__xludf.DUMMYFUNCTION("IMPORTRANGE(""https://docs.google.com/spreadsheets/d/1Yj_ptqi66GCucihVvJfMjLAmec39IyEx_6qawtMGysU/edit?usp=sharing"",""สบก!Z79"")"),69000.0)</f>
        <v>69000</v>
      </c>
      <c r="N57" s="115">
        <f>IFERROR(__xludf.DUMMYFUNCTION("IMPORTRANGE(""https://docs.google.com/spreadsheets/d/1Yj_ptqi66GCucihVvJfMjLAmec39IyEx_6qawtMGysU/edit?usp=sharing"",""สบก!AA79"")"),55532.0)</f>
        <v>55532</v>
      </c>
      <c r="O57" s="116">
        <f>IF(L57&gt;0,N57*100/L57,0)</f>
        <v>46.27666667</v>
      </c>
      <c r="P57" s="116">
        <f>IF(M57&gt;0,N57*100/M57,0)</f>
        <v>80.48115942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IFERROR(__xludf.DUMMYFUNCTION("IMPORTRANGE(""https://docs.google.com/spreadsheets/d/1Yj_ptqi66GCucihVvJfMjLAmec39IyEx_6qawtMGysU/edit?usp=sharing"",""สบก!V79"")"),120000.0)</f>
        <v>120000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IFERROR(__xludf.DUMMYFUNCTION("IMPORTRANGE(""https://docs.google.com/spreadsheets/d/1Yj_ptqi66GCucihVvJfMjLAmec39IyEx_6qawtMGysU/edit?usp=sharing"",""สบก!W79"")"),0.0)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IFERROR(__xludf.DUMMYFUNCTION("IMPORTRANGE(""https://docs.google.com/spreadsheets/d/1Yj_ptqi66GCucihVvJfMjLAmec39IyEx_6qawtMGysU/edit?usp=sharing"",""สบก!X79"")"),0.0)</f>
        <v>0</v>
      </c>
      <c r="M61" s="125"/>
      <c r="N61" s="115">
        <f>IFERROR(__xludf.DUMMYFUNCTION("IMPORTRANGE(""https://docs.google.com/spreadsheets/d/1Yj_ptqi66GCucihVvJfMjLAmec39IyEx_6qawtMGysU/edit?usp=sharing"",""สบก!AB79"")"),0.0)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IFERROR(__xludf.DUMMYFUNCTION("IMPORTRANGE(""https://docs.google.com/spreadsheets/d/1SX6NBoVAgQJ6U1MVXOaj8PK2l7WJ3RER9xtqwdhxkhw/edit?usp=sharing"",""อ่างทอง!I9"")"),0.0)</f>
        <v>0</v>
      </c>
      <c r="J64" s="172">
        <f>IFERROR(__xludf.DUMMYFUNCTION("IMPORTRANGE(""https://docs.google.com/spreadsheets/d/1SX6NBoVAgQJ6U1MVXOaj8PK2l7WJ3RER9xtqwdhxkhw/edit?usp=sharing"",""อ่างทอง!J9"")"),0.0)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IFERROR(__xludf.DUMMYFUNCTION("IMPORTRANGE(""https://docs.google.com/spreadsheets/d/1SX6NBoVAgQJ6U1MVXOaj8PK2l7WJ3RER9xtqwdhxkhw/edit?usp=sharing"",""อ่างทอง!I10"")"),0.0)</f>
        <v>0</v>
      </c>
      <c r="J65" s="172">
        <f>IFERROR(__xludf.DUMMYFUNCTION("IMPORTRANGE(""https://docs.google.com/spreadsheets/d/1SX6NBoVAgQJ6U1MVXOaj8PK2l7WJ3RER9xtqwdhxkhw/edit?usp=sharing"",""อ่างทอง!J10"")"),0.0)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IFERROR(__xludf.DUMMYFUNCTION("IMPORTRANGE(""https://docs.google.com/spreadsheets/d/1Yj_ptqi66GCucihVvJfMjLAmec39IyEx_6qawtMGysU/edit?usp=sharing"",""สบก!AI79"")"),0.0)</f>
        <v>0</v>
      </c>
      <c r="N70" s="202">
        <f>IFERROR(__xludf.DUMMYFUNCTION("IMPORTRANGE(""https://docs.google.com/spreadsheets/d/1Yj_ptqi66GCucihVvJfMjLAmec39IyEx_6qawtMGysU/edit?usp=sharing"",""สบก!AJ79"")"),0.0)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IFERROR(__xludf.DUMMYFUNCTION("IMPORTRANGE(""https://docs.google.com/spreadsheets/d/1Yj_ptqi66GCucihVvJfMjLAmec39IyEx_6qawtMGysU/edit?usp=sharing"",""สบก!AE79"")"),0.0)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IFERROR(__xludf.DUMMYFUNCTION("IMPORTRANGE(""https://docs.google.com/spreadsheets/d/1Yj_ptqi66GCucihVvJfMjLAmec39IyEx_6qawtMGysU/edit?usp=sharing"",""สบก!AF79"")"),0.0)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IFERROR(__xludf.DUMMYFUNCTION("IMPORTRANGE(""https://docs.google.com/spreadsheets/d/1Yj_ptqi66GCucihVvJfMjLAmec39IyEx_6qawtMGysU/edit?usp=sharing"",""สบก!AG79"")"),0.0)</f>
        <v>0</v>
      </c>
      <c r="M74" s="125"/>
      <c r="N74" s="115">
        <f>IFERROR(__xludf.DUMMYFUNCTION("IMPORTRANGE(""https://docs.google.com/spreadsheets/d/1Yj_ptqi66GCucihVvJfMjLAmec39IyEx_6qawtMGysU/edit?usp=sharing"",""สบก!AK79"")"),0.0)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IFERROR(__xludf.DUMMYFUNCTION("IMPORTRANGE(""https://docs.google.com/spreadsheets/d/1SX6NBoVAgQJ6U1MVXOaj8PK2l7WJ3RER9xtqwdhxkhw/edit?usp=sharing"",""อ่างทอง!J16"")"),0.0)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IFERROR(__xludf.DUMMYFUNCTION("IMPORTRANGE(""https://docs.google.com/spreadsheets/d/1SX6NBoVAgQJ6U1MVXOaj8PK2l7WJ3RER9xtqwdhxkhw/edit?usp=sharing"",""อ่างทอง!J17"")"),0.0)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IFERROR(__xludf.DUMMYFUNCTION("IMPORTRANGE(""https://docs.google.com/spreadsheets/d/1SX6NBoVAgQJ6U1MVXOaj8PK2l7WJ3RER9xtqwdhxkhw/edit?usp=sharing"",""อ่างทอง!J18"")"),0.0)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IFERROR(__xludf.DUMMYFUNCTION("IMPORTRANGE(""https://docs.google.com/spreadsheets/d/1SX6NBoVAgQJ6U1MVXOaj8PK2l7WJ3RER9xtqwdhxkhw/edit?usp=sharing"",""อ่างทอง!J19"")"),0.0)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IFERROR(__xludf.DUMMYFUNCTION("IMPORTRANGE(""https://docs.google.com/spreadsheets/d/1SX6NBoVAgQJ6U1MVXOaj8PK2l7WJ3RER9xtqwdhxkhw/edit?usp=sharing"",""อ่างทอง!I20"")"),0.0)</f>
        <v>0</v>
      </c>
      <c r="J80" s="235">
        <f>IFERROR(__xludf.DUMMYFUNCTION("IMPORTRANGE(""https://docs.google.com/spreadsheets/d/1SX6NBoVAgQJ6U1MVXOaj8PK2l7WJ3RER9xtqwdhxkhw/edit?usp=sharing"",""อ่างทอง!J20"")"),0.0)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IFERROR(__xludf.DUMMYFUNCTION("IMPORTRANGE(""https://docs.google.com/spreadsheets/d/1SX6NBoVAgQJ6U1MVXOaj8PK2l7WJ3RER9xtqwdhxkhw/edit?usp=sharing"",""อ่างทอง!I21"")"),0.0)</f>
        <v>0</v>
      </c>
      <c r="J81" s="235">
        <f>IFERROR(__xludf.DUMMYFUNCTION("IMPORTRANGE(""https://docs.google.com/spreadsheets/d/1SX6NBoVAgQJ6U1MVXOaj8PK2l7WJ3RER9xtqwdhxkhw/edit?usp=sharing"",""อ่างทอง!J21"")"),0.0)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IFERROR(__xludf.DUMMYFUNCTION("IMPORTRANGE(""https://docs.google.com/spreadsheets/d/1SX6NBoVAgQJ6U1MVXOaj8PK2l7WJ3RER9xtqwdhxkhw/edit?usp=sharing"",""อ่างทอง!I22"")"),0.0)</f>
        <v>0</v>
      </c>
      <c r="J82" s="238">
        <f>IFERROR(__xludf.DUMMYFUNCTION("IMPORTRANGE(""https://docs.google.com/spreadsheets/d/1SX6NBoVAgQJ6U1MVXOaj8PK2l7WJ3RER9xtqwdhxkhw/edit?usp=sharing"",""อ่างทอง!J22"")"),0.0)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IFERROR(__xludf.DUMMYFUNCTION("IMPORTRANGE(""https://docs.google.com/spreadsheets/d/1SX6NBoVAgQJ6U1MVXOaj8PK2l7WJ3RER9xtqwdhxkhw/edit?usp=sharing"",""อ่างทอง!I23"")"),0.0)</f>
        <v>0</v>
      </c>
      <c r="J83" s="238">
        <f>IFERROR(__xludf.DUMMYFUNCTION("IMPORTRANGE(""https://docs.google.com/spreadsheets/d/1SX6NBoVAgQJ6U1MVXOaj8PK2l7WJ3RER9xtqwdhxkhw/edit?usp=sharing"",""อ่างทอง!J23"")"),0.0)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IFERROR(__xludf.DUMMYFUNCTION("IMPORTRANGE(""https://docs.google.com/spreadsheets/d/1SX6NBoVAgQJ6U1MVXOaj8PK2l7WJ3RER9xtqwdhxkhw/edit?usp=sharing"",""อ่างทอง!I24"")"),0.0)</f>
        <v>0</v>
      </c>
      <c r="J84" s="223">
        <f>IFERROR(__xludf.DUMMYFUNCTION("IMPORTRANGE(""https://docs.google.com/spreadsheets/d/1SX6NBoVAgQJ6U1MVXOaj8PK2l7WJ3RER9xtqwdhxkhw/edit?usp=sharing"",""อ่างทอง!J24"")"),0.0)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IFERROR(__xludf.DUMMYFUNCTION("IMPORTRANGE(""https://docs.google.com/spreadsheets/d/1SX6NBoVAgQJ6U1MVXOaj8PK2l7WJ3RER9xtqwdhxkhw/edit?usp=sharing"",""อ่างทอง!I25"")"),0.0)</f>
        <v>0</v>
      </c>
      <c r="J85" s="223">
        <f>IFERROR(__xludf.DUMMYFUNCTION("IMPORTRANGE(""https://docs.google.com/spreadsheets/d/1SX6NBoVAgQJ6U1MVXOaj8PK2l7WJ3RER9xtqwdhxkhw/edit?usp=sharing"",""อ่างทอง!J25"")"),0.0)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IFERROR(__xludf.DUMMYFUNCTION("IMPORTRANGE(""https://docs.google.com/spreadsheets/d/1SX6NBoVAgQJ6U1MVXOaj8PK2l7WJ3RER9xtqwdhxkhw/edit?usp=sharing"",""อ่างทอง!I26"")"),0.0)</f>
        <v>0</v>
      </c>
      <c r="J86" s="238">
        <f>IFERROR(__xludf.DUMMYFUNCTION("IMPORTRANGE(""https://docs.google.com/spreadsheets/d/1SX6NBoVAgQJ6U1MVXOaj8PK2l7WJ3RER9xtqwdhxkhw/edit?usp=sharing"",""อ่างทอง!J26"")"),0.0)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IFERROR(__xludf.DUMMYFUNCTION("IMPORTRANGE(""https://docs.google.com/spreadsheets/d/1SX6NBoVAgQJ6U1MVXOaj8PK2l7WJ3RER9xtqwdhxkhw/edit?usp=sharing"",""อ่างทอง!I27"")"),0.0)</f>
        <v>0</v>
      </c>
      <c r="J87" s="238">
        <f>IFERROR(__xludf.DUMMYFUNCTION("IMPORTRANGE(""https://docs.google.com/spreadsheets/d/1SX6NBoVAgQJ6U1MVXOaj8PK2l7WJ3RER9xtqwdhxkhw/edit?usp=sharing"",""อ่างทอง!J27"")"),0.0)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IFERROR(__xludf.DUMMYFUNCTION("IMPORTRANGE(""https://docs.google.com/spreadsheets/d/1SX6NBoVAgQJ6U1MVXOaj8PK2l7WJ3RER9xtqwdhxkhw/edit?usp=sharing"",""อ่างทอง!I28"")"),0.0)</f>
        <v>0</v>
      </c>
      <c r="J88" s="238">
        <f>IFERROR(__xludf.DUMMYFUNCTION("IMPORTRANGE(""https://docs.google.com/spreadsheets/d/1SX6NBoVAgQJ6U1MVXOaj8PK2l7WJ3RER9xtqwdhxkhw/edit?usp=sharing"",""อ่างทอง!J28"")"),0.0)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IFERROR(__xludf.DUMMYFUNCTION("IMPORTRANGE(""https://docs.google.com/spreadsheets/d/1SX6NBoVAgQJ6U1MVXOaj8PK2l7WJ3RER9xtqwdhxkhw/edit?usp=sharing"",""อ่างทอง!J29"")"),0.0)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IFERROR(__xludf.DUMMYFUNCTION("IMPORTRANGE(""https://docs.google.com/spreadsheets/d/1SX6NBoVAgQJ6U1MVXOaj8PK2l7WJ3RER9xtqwdhxkhw/edit?usp=sharing"",""อ่างทอง!J30"")"),0.0)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IFERROR(__xludf.DUMMYFUNCTION("IMPORTRANGE(""https://docs.google.com/spreadsheets/d/1SX6NBoVAgQJ6U1MVXOaj8PK2l7WJ3RER9xtqwdhxkhw/edit?usp=sharing"",""อ่างทอง!I32"")"),0.0)</f>
        <v>0</v>
      </c>
      <c r="J92" s="172">
        <f>IFERROR(__xludf.DUMMYFUNCTION("IMPORTRANGE(""https://docs.google.com/spreadsheets/d/1SX6NBoVAgQJ6U1MVXOaj8PK2l7WJ3RER9xtqwdhxkhw/edit?usp=sharing"",""อ่างทอง!J32"")"),0.0)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IFERROR(__xludf.DUMMYFUNCTION("IMPORTRANGE(""https://docs.google.com/spreadsheets/d/1SX6NBoVAgQJ6U1MVXOaj8PK2l7WJ3RER9xtqwdhxkhw/edit?usp=sharing"",""อ่างทอง!I33"")"),0.0)</f>
        <v>0</v>
      </c>
      <c r="J93" s="172">
        <f>IFERROR(__xludf.DUMMYFUNCTION("IMPORTRANGE(""https://docs.google.com/spreadsheets/d/1SX6NBoVAgQJ6U1MVXOaj8PK2l7WJ3RER9xtqwdhxkhw/edit?usp=sharing"",""อ่างทอง!J33"")"),0.0)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IFERROR(__xludf.DUMMYFUNCTION("IMPORTRANGE(""https://docs.google.com/spreadsheets/d/1Yj_ptqi66GCucihVvJfMjLAmec39IyEx_6qawtMGysU/edit?usp=sharing"",""สบก!AR79"")"),0.0)</f>
        <v>0</v>
      </c>
      <c r="N98" s="202">
        <f>IFERROR(__xludf.DUMMYFUNCTION("IMPORTRANGE(""https://docs.google.com/spreadsheets/d/1Yj_ptqi66GCucihVvJfMjLAmec39IyEx_6qawtMGysU/edit?usp=sharing"",""สบก!AS79"")"),0.0)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IFERROR(__xludf.DUMMYFUNCTION("IMPORTRANGE(""https://docs.google.com/spreadsheets/d/1Yj_ptqi66GCucihVvJfMjLAmec39IyEx_6qawtMGysU/edit?usp=sharing"",""สบก!AN79"")"),0.0)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IFERROR(__xludf.DUMMYFUNCTION("IMPORTRANGE(""https://docs.google.com/spreadsheets/d/1Yj_ptqi66GCucihVvJfMjLAmec39IyEx_6qawtMGysU/edit?usp=sharing"",""สบก!AO79"")"),0.0)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IFERROR(__xludf.DUMMYFUNCTION("IMPORTRANGE(""https://docs.google.com/spreadsheets/d/1Yj_ptqi66GCucihVvJfMjLAmec39IyEx_6qawtMGysU/edit?usp=sharing"",""สบก!AP79"")"),0.0)</f>
        <v>0</v>
      </c>
      <c r="M102" s="125"/>
      <c r="N102" s="115">
        <f>IFERROR(__xludf.DUMMYFUNCTION("IMPORTRANGE(""https://docs.google.com/spreadsheets/d/1Yj_ptqi66GCucihVvJfMjLAmec39IyEx_6qawtMGysU/edit?usp=sharing"",""สบก!AT79"")"),0.0)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IFERROR(__xludf.DUMMYFUNCTION("IMPORTRANGE(""https://docs.google.com/spreadsheets/d/1SX6NBoVAgQJ6U1MVXOaj8PK2l7WJ3RER9xtqwdhxkhw/edit?usp=sharing"",""อ่างทอง!J39"")"),0.0)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IFERROR(__xludf.DUMMYFUNCTION("IMPORTRANGE(""https://docs.google.com/spreadsheets/d/1SX6NBoVAgQJ6U1MVXOaj8PK2l7WJ3RER9xtqwdhxkhw/edit?usp=sharing"",""อ่างทอง!J40"")"),0.0)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IFERROR(__xludf.DUMMYFUNCTION("IMPORTRANGE(""https://docs.google.com/spreadsheets/d/1SX6NBoVAgQJ6U1MVXOaj8PK2l7WJ3RER9xtqwdhxkhw/edit?usp=sharing"",""อ่างทอง!J41"")"),0.0)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IFERROR(__xludf.DUMMYFUNCTION("IMPORTRANGE(""https://docs.google.com/spreadsheets/d/1SX6NBoVAgQJ6U1MVXOaj8PK2l7WJ3RER9xtqwdhxkhw/edit?usp=sharing"",""อ่างทอง!J42"")"),0.0)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IFERROR(__xludf.DUMMYFUNCTION("IMPORTRANGE(""https://docs.google.com/spreadsheets/d/1SX6NBoVAgQJ6U1MVXOaj8PK2l7WJ3RER9xtqwdhxkhw/edit?usp=sharing"",""อ่างทอง!I43"")"),0.0)</f>
        <v>0</v>
      </c>
      <c r="J108" s="238">
        <f>IFERROR(__xludf.DUMMYFUNCTION("IMPORTRANGE(""https://docs.google.com/spreadsheets/d/1SX6NBoVAgQJ6U1MVXOaj8PK2l7WJ3RER9xtqwdhxkhw/edit?usp=sharing"",""อ่างทอง!J43"")"),0.0)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IFERROR(__xludf.DUMMYFUNCTION("IMPORTRANGE(""https://docs.google.com/spreadsheets/d/1SX6NBoVAgQJ6U1MVXOaj8PK2l7WJ3RER9xtqwdhxkhw/edit?usp=sharing"",""อ่างทอง!I44"")"),0.0)</f>
        <v>0</v>
      </c>
      <c r="J109" s="238">
        <f>IFERROR(__xludf.DUMMYFUNCTION("IMPORTRANGE(""https://docs.google.com/spreadsheets/d/1SX6NBoVAgQJ6U1MVXOaj8PK2l7WJ3RER9xtqwdhxkhw/edit?usp=sharing"",""อ่างทอง!J44"")"),0.0)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IFERROR(__xludf.DUMMYFUNCTION("IMPORTRANGE(""https://docs.google.com/spreadsheets/d/1SX6NBoVAgQJ6U1MVXOaj8PK2l7WJ3RER9xtqwdhxkhw/edit?usp=sharing"",""อ่างทอง!I45"")"),0.0)</f>
        <v>0</v>
      </c>
      <c r="J110" s="238">
        <f>IFERROR(__xludf.DUMMYFUNCTION("IMPORTRANGE(""https://docs.google.com/spreadsheets/d/1SX6NBoVAgQJ6U1MVXOaj8PK2l7WJ3RER9xtqwdhxkhw/edit?usp=sharing"",""อ่างทอง!J45"")"),0.0)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IFERROR(__xludf.DUMMYFUNCTION("IMPORTRANGE(""https://docs.google.com/spreadsheets/d/1SX6NBoVAgQJ6U1MVXOaj8PK2l7WJ3RER9xtqwdhxkhw/edit?usp=sharing"",""อ่างทอง!I46"")"),0.0)</f>
        <v>0</v>
      </c>
      <c r="J111" s="238">
        <f>IFERROR(__xludf.DUMMYFUNCTION("IMPORTRANGE(""https://docs.google.com/spreadsheets/d/1SX6NBoVAgQJ6U1MVXOaj8PK2l7WJ3RER9xtqwdhxkhw/edit?usp=sharing"",""อ่างทอง!J46"")"),0.0)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IFERROR(__xludf.DUMMYFUNCTION("IMPORTRANGE(""https://docs.google.com/spreadsheets/d/1SX6NBoVAgQJ6U1MVXOaj8PK2l7WJ3RER9xtqwdhxkhw/edit?usp=sharing"",""อ่างทอง!I47"")"),0.0)</f>
        <v>0</v>
      </c>
      <c r="J112" s="238">
        <f>IFERROR(__xludf.DUMMYFUNCTION("IMPORTRANGE(""https://docs.google.com/spreadsheets/d/1SX6NBoVAgQJ6U1MVXOaj8PK2l7WJ3RER9xtqwdhxkhw/edit?usp=sharing"",""อ่างทอง!J47"")"),0.0)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IFERROR(__xludf.DUMMYFUNCTION("IMPORTRANGE(""https://docs.google.com/spreadsheets/d/1SX6NBoVAgQJ6U1MVXOaj8PK2l7WJ3RER9xtqwdhxkhw/edit?usp=sharing"",""อ่างทอง!I48"")"),0.0)</f>
        <v>0</v>
      </c>
      <c r="J113" s="238">
        <f>IFERROR(__xludf.DUMMYFUNCTION("IMPORTRANGE(""https://docs.google.com/spreadsheets/d/1SX6NBoVAgQJ6U1MVXOaj8PK2l7WJ3RER9xtqwdhxkhw/edit?usp=sharing"",""อ่างทอง!J48"")"),0.0)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IFERROR(__xludf.DUMMYFUNCTION("IMPORTRANGE(""https://docs.google.com/spreadsheets/d/1SX6NBoVAgQJ6U1MVXOaj8PK2l7WJ3RER9xtqwdhxkhw/edit?usp=sharing"",""อ่างทอง!J49"")"),0.0)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IFERROR(__xludf.DUMMYFUNCTION("IMPORTRANGE(""https://docs.google.com/spreadsheets/d/1SX6NBoVAgQJ6U1MVXOaj8PK2l7WJ3RER9xtqwdhxkhw/edit?usp=sharing"",""อ่างทอง!J50"")"),0.0)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IFERROR(__xludf.DUMMYFUNCTION("IMPORTRANGE(""https://docs.google.com/spreadsheets/d/1SX6NBoVAgQJ6U1MVXOaj8PK2l7WJ3RER9xtqwdhxkhw/edit?usp=sharing"",""อ่างทอง!I52"")"),0.0)</f>
        <v>0</v>
      </c>
      <c r="J117" s="172">
        <f>IFERROR(__xludf.DUMMYFUNCTION("IMPORTRANGE(""https://docs.google.com/spreadsheets/d/1SX6NBoVAgQJ6U1MVXOaj8PK2l7WJ3RER9xtqwdhxkhw/edit?usp=sharing"",""อ่างทอง!J52"")"),0.0)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IFERROR(__xludf.DUMMYFUNCTION("IMPORTRANGE(""https://docs.google.com/spreadsheets/d/1Yj_ptqi66GCucihVvJfMjLAmec39IyEx_6qawtMGysU/edit?usp=sharing"",""สบก!BA79"")"),0.0)</f>
        <v>0</v>
      </c>
      <c r="N122" s="202">
        <f>IFERROR(__xludf.DUMMYFUNCTION("IMPORTRANGE(""https://docs.google.com/spreadsheets/d/1Yj_ptqi66GCucihVvJfMjLAmec39IyEx_6qawtMGysU/edit?usp=sharing"",""สบก!BB79"")"),0.0)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IFERROR(__xludf.DUMMYFUNCTION("IMPORTRANGE(""https://docs.google.com/spreadsheets/d/1Yj_ptqi66GCucihVvJfMjLAmec39IyEx_6qawtMGysU/edit?usp=sharing"",""สบก!AW79"")"),0.0)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IFERROR(__xludf.DUMMYFUNCTION("IMPORTRANGE(""https://docs.google.com/spreadsheets/d/1Yj_ptqi66GCucihVvJfMjLAmec39IyEx_6qawtMGysU/edit?usp=sharing"",""สบก!AX79"")"),0.0)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IFERROR(__xludf.DUMMYFUNCTION("IMPORTRANGE(""https://docs.google.com/spreadsheets/d/1Yj_ptqi66GCucihVvJfMjLAmec39IyEx_6qawtMGysU/edit?usp=sharing"",""สบก!AY79"")"),0.0)</f>
        <v>0</v>
      </c>
      <c r="M126" s="125"/>
      <c r="N126" s="115">
        <f>IFERROR(__xludf.DUMMYFUNCTION("IMPORTRANGE(""https://docs.google.com/spreadsheets/d/1Yj_ptqi66GCucihVvJfMjLAmec39IyEx_6qawtMGysU/edit?usp=sharing"",""สบก!BC79"")"),0.0)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280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IFERROR(__xludf.DUMMYFUNCTION("IMPORTRANGE(""https://docs.google.com/spreadsheets/d/1SX6NBoVAgQJ6U1MVXOaj8PK2l7WJ3RER9xtqwdhxkhw/edit?usp=sharing"",""อ่างทอง!J58"")"),0.0)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IFERROR(__xludf.DUMMYFUNCTION("IMPORTRANGE(""https://docs.google.com/spreadsheets/d/1SX6NBoVAgQJ6U1MVXOaj8PK2l7WJ3RER9xtqwdhxkhw/edit?usp=sharing"",""อ่างทอง!J59"")"),0.0)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IFERROR(__xludf.DUMMYFUNCTION("IMPORTRANGE(""https://docs.google.com/spreadsheets/d/1SX6NBoVAgQJ6U1MVXOaj8PK2l7WJ3RER9xtqwdhxkhw/edit?usp=sharing"",""อ่างทอง!J60"")"),0.0)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IFERROR(__xludf.DUMMYFUNCTION("IMPORTRANGE(""https://docs.google.com/spreadsheets/d/1SX6NBoVAgQJ6U1MVXOaj8PK2l7WJ3RER9xtqwdhxkhw/edit?usp=sharing"",""อ่างทอง!J61"")"),0.0)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IFERROR(__xludf.DUMMYFUNCTION("IMPORTRANGE(""https://docs.google.com/spreadsheets/d/1SX6NBoVAgQJ6U1MVXOaj8PK2l7WJ3RER9xtqwdhxkhw/edit?usp=sharing"",""อ่างทอง!I62"")"),0.0)</f>
        <v>0</v>
      </c>
      <c r="J132" s="238">
        <f>IFERROR(__xludf.DUMMYFUNCTION("IMPORTRANGE(""https://docs.google.com/spreadsheets/d/1SX6NBoVAgQJ6U1MVXOaj8PK2l7WJ3RER9xtqwdhxkhw/edit?usp=sharing"",""อ่างทอง!J62"")"),0.0)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IFERROR(__xludf.DUMMYFUNCTION("IMPORTRANGE(""https://docs.google.com/spreadsheets/d/1SX6NBoVAgQJ6U1MVXOaj8PK2l7WJ3RER9xtqwdhxkhw/edit?usp=sharing"",""อ่างทอง!I63"")"),0.0)</f>
        <v>0</v>
      </c>
      <c r="J133" s="238">
        <f>IFERROR(__xludf.DUMMYFUNCTION("IMPORTRANGE(""https://docs.google.com/spreadsheets/d/1SX6NBoVAgQJ6U1MVXOaj8PK2l7WJ3RER9xtqwdhxkhw/edit?usp=sharing"",""อ่างทอง!J63"")"),0.0)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IFERROR(__xludf.DUMMYFUNCTION("IMPORTRANGE(""https://docs.google.com/spreadsheets/d/1SX6NBoVAgQJ6U1MVXOaj8PK2l7WJ3RER9xtqwdhxkhw/edit?usp=sharing"",""อ่างทอง!J64"")"),0.0)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IFERROR(__xludf.DUMMYFUNCTION("IMPORTRANGE(""https://docs.google.com/spreadsheets/d/1SX6NBoVAgQJ6U1MVXOaj8PK2l7WJ3RER9xtqwdhxkhw/edit?usp=sharing"",""อ่างทอง!J65"")"),0.0)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IFERROR(__xludf.DUMMYFUNCTION("IMPORTRANGE(""https://docs.google.com/spreadsheets/d/1SX6NBoVAgQJ6U1MVXOaj8PK2l7WJ3RER9xtqwdhxkhw/edit?usp=sharing"",""อ่างทอง!I68"")"),0.0)</f>
        <v>0</v>
      </c>
      <c r="J138" s="301">
        <f>IFERROR(__xludf.DUMMYFUNCTION("IMPORTRANGE(""https://docs.google.com/spreadsheets/d/1SX6NBoVAgQJ6U1MVXOaj8PK2l7WJ3RER9xtqwdhxkhw/edit?usp=sharing"",""อ่างทอง!J68"")"),0.0)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28400</v>
      </c>
      <c r="M140" s="183">
        <f t="shared" si="65"/>
        <v>17750</v>
      </c>
      <c r="N140" s="183">
        <f t="shared" si="65"/>
        <v>14000</v>
      </c>
      <c r="O140" s="182">
        <f t="shared" ref="O140:O142" si="67">IF(L140&gt;0,N140*100/L140,0)</f>
        <v>49.29577465</v>
      </c>
      <c r="P140" s="182">
        <f t="shared" ref="P140:P142" si="68">IF(M140&gt;0,N140*100/M140,0)</f>
        <v>78.87323944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28400</v>
      </c>
      <c r="M142" s="188">
        <f t="shared" si="69"/>
        <v>17750</v>
      </c>
      <c r="N142" s="188">
        <f t="shared" si="69"/>
        <v>14000</v>
      </c>
      <c r="O142" s="187">
        <f t="shared" si="67"/>
        <v>49.29577465</v>
      </c>
      <c r="P142" s="187">
        <f t="shared" si="68"/>
        <v>78.87323944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28400</v>
      </c>
      <c r="M144" s="201">
        <f>IFERROR(__xludf.DUMMYFUNCTION("IMPORTRANGE(""https://docs.google.com/spreadsheets/d/1Yj_ptqi66GCucihVvJfMjLAmec39IyEx_6qawtMGysU/edit?usp=sharing"",""สบก!BJ79"")"),17750.0)</f>
        <v>17750</v>
      </c>
      <c r="N144" s="202">
        <f>IFERROR(__xludf.DUMMYFUNCTION("IMPORTRANGE(""https://docs.google.com/spreadsheets/d/1Yj_ptqi66GCucihVvJfMjLAmec39IyEx_6qawtMGysU/edit?usp=sharing"",""สบก!BK79"")"),14000.0)</f>
        <v>14000</v>
      </c>
      <c r="O144" s="203">
        <f>IF(L144&gt;0,N144*100/L144,0)</f>
        <v>49.29577465</v>
      </c>
      <c r="P144" s="203">
        <f>IF(M144&gt;0,N144*100/M144,0)</f>
        <v>78.87323944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IFERROR(__xludf.DUMMYFUNCTION("IMPORTRANGE(""https://docs.google.com/spreadsheets/d/1Yj_ptqi66GCucihVvJfMjLAmec39IyEx_6qawtMGysU/edit?usp=sharing"",""สบก!BF79"")"),0.0)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IFERROR(__xludf.DUMMYFUNCTION("IMPORTRANGE(""https://docs.google.com/spreadsheets/d/1Yj_ptqi66GCucihVvJfMjLAmec39IyEx_6qawtMGysU/edit?usp=sharing"",""สบก!BG79"")"),28400.0)</f>
        <v>28400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IFERROR(__xludf.DUMMYFUNCTION("IMPORTRANGE(""https://docs.google.com/spreadsheets/d/1Yj_ptqi66GCucihVvJfMjLAmec39IyEx_6qawtMGysU/edit?usp=sharing"",""สบก!BH79"")"),0.0)</f>
        <v>0</v>
      </c>
      <c r="M148" s="125"/>
      <c r="N148" s="115">
        <f>IFERROR(__xludf.DUMMYFUNCTION("IMPORTRANGE(""https://docs.google.com/spreadsheets/d/1Yj_ptqi66GCucihVvJfMjLAmec39IyEx_6qawtMGysU/edit?usp=sharing"",""สบก!BL79"")"),0.0)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IFERROR(__xludf.DUMMYFUNCTION("IMPORTRANGE(""https://docs.google.com/spreadsheets/d/1SX6NBoVAgQJ6U1MVXOaj8PK2l7WJ3RER9xtqwdhxkhw/edit?usp=sharing"",""อ่างทอง!I74"")"),4.0)</f>
        <v>4</v>
      </c>
      <c r="J149" s="309">
        <f>IFERROR(__xludf.DUMMYFUNCTION("IMPORTRANGE(""https://docs.google.com/spreadsheets/d/1SX6NBoVAgQJ6U1MVXOaj8PK2l7WJ3RER9xtqwdhxkhw/edit?usp=sharing"",""อ่างทอง!J74"")"),1.0)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IFERROR(__xludf.DUMMYFUNCTION("IMPORTRANGE(""https://docs.google.com/spreadsheets/d/1SX6NBoVAgQJ6U1MVXOaj8PK2l7WJ3RER9xtqwdhxkhw/edit?usp=sharing"",""อ่างทอง!J79"")"),0.0)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IFERROR(__xludf.DUMMYFUNCTION("IMPORTRANGE(""https://docs.google.com/spreadsheets/d/1SX6NBoVAgQJ6U1MVXOaj8PK2l7WJ3RER9xtqwdhxkhw/edit?usp=sharing"",""อ่างทอง!J80"")"),1.0)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IFERROR(__xludf.DUMMYFUNCTION("IMPORTRANGE(""https://docs.google.com/spreadsheets/d/1SX6NBoVAgQJ6U1MVXOaj8PK2l7WJ3RER9xtqwdhxkhw/edit?usp=sharing"",""อ่างทอง!J81"")"),1.0)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IFERROR(__xludf.DUMMYFUNCTION("IMPORTRANGE(""https://docs.google.com/spreadsheets/d/1SX6NBoVAgQJ6U1MVXOaj8PK2l7WJ3RER9xtqwdhxkhw/edit?usp=sharing"",""อ่างทอง!J82"")"),1.0)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IFERROR(__xludf.DUMMYFUNCTION("IMPORTRANGE(""https://docs.google.com/spreadsheets/d/1SX6NBoVAgQJ6U1MVXOaj8PK2l7WJ3RER9xtqwdhxkhw/edit?usp=sharing"",""อ่างทอง!I83"")"),4.0)</f>
        <v>4</v>
      </c>
      <c r="J158" s="223">
        <f>IFERROR(__xludf.DUMMYFUNCTION("IMPORTRANGE(""https://docs.google.com/spreadsheets/d/1SX6NBoVAgQJ6U1MVXOaj8PK2l7WJ3RER9xtqwdhxkhw/edit?usp=sharing"",""อ่างทอง!J83"")"),1.0)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IFERROR(__xludf.DUMMYFUNCTION("IMPORTRANGE(""https://docs.google.com/spreadsheets/d/1SX6NBoVAgQJ6U1MVXOaj8PK2l7WJ3RER9xtqwdhxkhw/edit?usp=sharing"",""อ่างทอง!J84"")"),22.0)</f>
        <v>22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IFERROR(__xludf.DUMMYFUNCTION("IMPORTRANGE(""https://docs.google.com/spreadsheets/d/1SX6NBoVAgQJ6U1MVXOaj8PK2l7WJ3RER9xtqwdhxkhw/edit?usp=sharing"",""อ่างทอง!J85"")"),22.0)</f>
        <v>22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IFERROR(__xludf.DUMMYFUNCTION("IMPORTRANGE(""https://docs.google.com/spreadsheets/d/1SX6NBoVAgQJ6U1MVXOaj8PK2l7WJ3RER9xtqwdhxkhw/edit?usp=sharing"",""อ่างทอง!J86"")"),0.0)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IFERROR(__xludf.DUMMYFUNCTION("IMPORTRANGE(""https://docs.google.com/spreadsheets/d/1SX6NBoVAgQJ6U1MVXOaj8PK2l7WJ3RER9xtqwdhxkhw/edit?usp=sharing"",""อ่างทอง!J87"")"),0.0)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IFERROR(__xludf.DUMMYFUNCTION("IMPORTRANGE(""https://docs.google.com/spreadsheets/d/1SX6NBoVAgQJ6U1MVXOaj8PK2l7WJ3RER9xtqwdhxkhw/edit?usp=sharing"",""อ่างทอง!J88"")"),0.0)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IFERROR(__xludf.DUMMYFUNCTION("IMPORTRANGE(""https://docs.google.com/spreadsheets/d/1SX6NBoVAgQJ6U1MVXOaj8PK2l7WJ3RER9xtqwdhxkhw/edit?usp=sharing"",""อ่างทอง!I89"")"),1.0)</f>
        <v>1</v>
      </c>
      <c r="J164" s="317">
        <f>IFERROR(__xludf.DUMMYFUNCTION("IMPORTRANGE(""https://docs.google.com/spreadsheets/d/1SX6NBoVAgQJ6U1MVXOaj8PK2l7WJ3RER9xtqwdhxkhw/edit?usp=sharing"",""อ่างทอง!J89"")"),1.0)</f>
        <v>1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IFERROR(__xludf.DUMMYFUNCTION("IMPORTRANGE(""https://docs.google.com/spreadsheets/d/1SX6NBoVAgQJ6U1MVXOaj8PK2l7WJ3RER9xtqwdhxkhw/edit?usp=sharing"",""อ่างทอง!J94"")"),0.0)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IFERROR(__xludf.DUMMYFUNCTION("IMPORTRANGE(""https://docs.google.com/spreadsheets/d/1SX6NBoVAgQJ6U1MVXOaj8PK2l7WJ3RER9xtqwdhxkhw/edit?usp=sharing"",""อ่างทอง!J95"")"),1.0)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IFERROR(__xludf.DUMMYFUNCTION("IMPORTRANGE(""https://docs.google.com/spreadsheets/d/1SX6NBoVAgQJ6U1MVXOaj8PK2l7WJ3RER9xtqwdhxkhw/edit?usp=sharing"",""อ่างทอง!J96"")"),1.0)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IFERROR(__xludf.DUMMYFUNCTION("IMPORTRANGE(""https://docs.google.com/spreadsheets/d/1SX6NBoVAgQJ6U1MVXOaj8PK2l7WJ3RER9xtqwdhxkhw/edit?usp=sharing"",""อ่างทอง!J97"")"),1.0)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IFERROR(__xludf.DUMMYFUNCTION("IMPORTRANGE(""https://docs.google.com/spreadsheets/d/1SX6NBoVAgQJ6U1MVXOaj8PK2l7WJ3RER9xtqwdhxkhw/edit?usp=sharing"",""อ่างทอง!I98"")"),1.0)</f>
        <v>1</v>
      </c>
      <c r="J173" s="223">
        <f>IFERROR(__xludf.DUMMYFUNCTION("IMPORTRANGE(""https://docs.google.com/spreadsheets/d/1SX6NBoVAgQJ6U1MVXOaj8PK2l7WJ3RER9xtqwdhxkhw/edit?usp=sharing"",""อ่างทอง!J98"")"),1.0)</f>
        <v>1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IFERROR(__xludf.DUMMYFUNCTION("IMPORTRANGE(""https://docs.google.com/spreadsheets/d/1SX6NBoVAgQJ6U1MVXOaj8PK2l7WJ3RER9xtqwdhxkhw/edit?usp=sharing"",""อ่างทอง!J99"")"),0.0)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IFERROR(__xludf.DUMMYFUNCTION("IMPORTRANGE(""https://docs.google.com/spreadsheets/d/1SX6NBoVAgQJ6U1MVXOaj8PK2l7WJ3RER9xtqwdhxkhw/edit?usp=sharing"",""อ่างทอง!J100"")"),0.0)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IFERROR(__xludf.DUMMYFUNCTION("IMPORTRANGE(""https://docs.google.com/spreadsheets/d/1SX6NBoVAgQJ6U1MVXOaj8PK2l7WJ3RER9xtqwdhxkhw/edit?usp=sharing"",""อ่างทอง!I101"")"),0.0)</f>
        <v>0</v>
      </c>
      <c r="J176" s="317">
        <f>IFERROR(__xludf.DUMMYFUNCTION("IMPORTRANGE(""https://docs.google.com/spreadsheets/d/1SX6NBoVAgQJ6U1MVXOaj8PK2l7WJ3RER9xtqwdhxkhw/edit?usp=sharing"",""อ่างทอง!J101"")"),0.0)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IFERROR(__xludf.DUMMYFUNCTION("IMPORTRANGE(""https://docs.google.com/spreadsheets/d/1SX6NBoVAgQJ6U1MVXOaj8PK2l7WJ3RER9xtqwdhxkhw/edit?usp=sharing"",""อ่างทอง!J106"")"),0.0)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IFERROR(__xludf.DUMMYFUNCTION("IMPORTRANGE(""https://docs.google.com/spreadsheets/d/1SX6NBoVAgQJ6U1MVXOaj8PK2l7WJ3RER9xtqwdhxkhw/edit?usp=sharing"",""อ่างทอง!J107"")"),0.0)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IFERROR(__xludf.DUMMYFUNCTION("IMPORTRANGE(""https://docs.google.com/spreadsheets/d/1SX6NBoVAgQJ6U1MVXOaj8PK2l7WJ3RER9xtqwdhxkhw/edit?usp=sharing"",""อ่างทอง!J108"")"),0.0)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IFERROR(__xludf.DUMMYFUNCTION("IMPORTRANGE(""https://docs.google.com/spreadsheets/d/1SX6NBoVAgQJ6U1MVXOaj8PK2l7WJ3RER9xtqwdhxkhw/edit?usp=sharing"",""อ่างทอง!J109"")"),0.0)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IFERROR(__xludf.DUMMYFUNCTION("IMPORTRANGE(""https://docs.google.com/spreadsheets/d/1SX6NBoVAgQJ6U1MVXOaj8PK2l7WJ3RER9xtqwdhxkhw/edit?usp=sharing"",""อ่างทอง!I110"")"),0.0)</f>
        <v>0</v>
      </c>
      <c r="J185" s="238">
        <f>IFERROR(__xludf.DUMMYFUNCTION("IMPORTRANGE(""https://docs.google.com/spreadsheets/d/1SX6NBoVAgQJ6U1MVXOaj8PK2l7WJ3RER9xtqwdhxkhw/edit?usp=sharing"",""อ่างทอง!J110"")"),0.0)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IFERROR(__xludf.DUMMYFUNCTION("IMPORTRANGE(""https://docs.google.com/spreadsheets/d/1SX6NBoVAgQJ6U1MVXOaj8PK2l7WJ3RER9xtqwdhxkhw/edit?usp=sharing"",""อ่างทอง!I111"")"),0.0)</f>
        <v>0</v>
      </c>
      <c r="J186" s="238">
        <f>IFERROR(__xludf.DUMMYFUNCTION("IMPORTRANGE(""https://docs.google.com/spreadsheets/d/1SX6NBoVAgQJ6U1MVXOaj8PK2l7WJ3RER9xtqwdhxkhw/edit?usp=sharing"",""อ่างทอง!J111"")"),0.0)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IFERROR(__xludf.DUMMYFUNCTION("IMPORTRANGE(""https://docs.google.com/spreadsheets/d/1SX6NBoVAgQJ6U1MVXOaj8PK2l7WJ3RER9xtqwdhxkhw/edit?usp=sharing"",""อ่างทอง!J112"")"),0.0)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IFERROR(__xludf.DUMMYFUNCTION("IMPORTRANGE(""https://docs.google.com/spreadsheets/d/1SX6NBoVAgQJ6U1MVXOaj8PK2l7WJ3RER9xtqwdhxkhw/edit?usp=sharing"",""อ่างทอง!J113"")"),0.0)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IFERROR(__xludf.DUMMYFUNCTION("IMPORTRANGE(""https://docs.google.com/spreadsheets/d/1SX6NBoVAgQJ6U1MVXOaj8PK2l7WJ3RER9xtqwdhxkhw/edit?usp=sharing"",""อ่างทอง!I114"")"),5000.0)</f>
        <v>5000</v>
      </c>
      <c r="J189" s="317">
        <f>IFERROR(__xludf.DUMMYFUNCTION("IMPORTRANGE(""https://docs.google.com/spreadsheets/d/1SX6NBoVAgQJ6U1MVXOaj8PK2l7WJ3RER9xtqwdhxkhw/edit?usp=sharing"",""อ่างทอง!J114"")"),0.0)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IFERROR(__xludf.DUMMYFUNCTION("IMPORTRANGE(""https://docs.google.com/spreadsheets/d/1SX6NBoVAgQJ6U1MVXOaj8PK2l7WJ3RER9xtqwdhxkhw/edit?usp=sharing"",""อ่างทอง!J119"")"),0.0)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IFERROR(__xludf.DUMMYFUNCTION("IMPORTRANGE(""https://docs.google.com/spreadsheets/d/1SX6NBoVAgQJ6U1MVXOaj8PK2l7WJ3RER9xtqwdhxkhw/edit?usp=sharing"",""อ่างทอง!J120"")"),1.0)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IFERROR(__xludf.DUMMYFUNCTION("IMPORTRANGE(""https://docs.google.com/spreadsheets/d/1SX6NBoVAgQJ6U1MVXOaj8PK2l7WJ3RER9xtqwdhxkhw/edit?usp=sharing"",""อ่างทอง!J121"")"),1.0)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IFERROR(__xludf.DUMMYFUNCTION("IMPORTRANGE(""https://docs.google.com/spreadsheets/d/1SX6NBoVAgQJ6U1MVXOaj8PK2l7WJ3RER9xtqwdhxkhw/edit?usp=sharing"",""อ่างทอง!J122"")"),1.0)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IFERROR(__xludf.DUMMYFUNCTION("IMPORTRANGE(""https://docs.google.com/spreadsheets/d/1SX6NBoVAgQJ6U1MVXOaj8PK2l7WJ3RER9xtqwdhxkhw/edit?usp=sharing"",""อ่างทอง!I124"")"),5000.0)</f>
        <v>5000</v>
      </c>
      <c r="J199" s="223">
        <f>IFERROR(__xludf.DUMMYFUNCTION("IMPORTRANGE(""https://docs.google.com/spreadsheets/d/1SX6NBoVAgQJ6U1MVXOaj8PK2l7WJ3RER9xtqwdhxkhw/edit?usp=sharing"",""อ่างทอง!J124"")"),0.0)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IFERROR(__xludf.DUMMYFUNCTION("IMPORTRANGE(""https://docs.google.com/spreadsheets/d/1SX6NBoVAgQJ6U1MVXOaj8PK2l7WJ3RER9xtqwdhxkhw/edit?usp=sharing"",""อ่างทอง!I125"")"),5000.0)</f>
        <v>5000</v>
      </c>
      <c r="J200" s="223">
        <f>IFERROR(__xludf.DUMMYFUNCTION("IMPORTRANGE(""https://docs.google.com/spreadsheets/d/1SX6NBoVAgQJ6U1MVXOaj8PK2l7WJ3RER9xtqwdhxkhw/edit?usp=sharing"",""อ่างทอง!J125"")"),0.0)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IFERROR(__xludf.DUMMYFUNCTION("IMPORTRANGE(""https://docs.google.com/spreadsheets/d/1SX6NBoVAgQJ6U1MVXOaj8PK2l7WJ3RER9xtqwdhxkhw/edit?usp=sharing"",""อ่างทอง!I126"")"),0.0)</f>
        <v>0</v>
      </c>
      <c r="J201" s="223">
        <f>IFERROR(__xludf.DUMMYFUNCTION("IMPORTRANGE(""https://docs.google.com/spreadsheets/d/1SX6NBoVAgQJ6U1MVXOaj8PK2l7WJ3RER9xtqwdhxkhw/edit?usp=sharing"",""อ่างทอง!J126"")"),0.0)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IFERROR(__xludf.DUMMYFUNCTION("IMPORTRANGE(""https://docs.google.com/spreadsheets/d/1SX6NBoVAgQJ6U1MVXOaj8PK2l7WJ3RER9xtqwdhxkhw/edit?usp=sharing"",""อ่างทอง!J127"")"),0.0)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IFERROR(__xludf.DUMMYFUNCTION("IMPORTRANGE(""https://docs.google.com/spreadsheets/d/1SX6NBoVAgQJ6U1MVXOaj8PK2l7WJ3RER9xtqwdhxkhw/edit?usp=sharing"",""อ่างทอง!J128"")"),0.0)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IFERROR(__xludf.DUMMYFUNCTION("IMPORTRANGE(""https://docs.google.com/spreadsheets/d/1SX6NBoVAgQJ6U1MVXOaj8PK2l7WJ3RER9xtqwdhxkhw/edit?usp=sharing"",""อ่างทอง!I129"")"),0.0)</f>
        <v>0</v>
      </c>
      <c r="J204" s="317">
        <f>IFERROR(__xludf.DUMMYFUNCTION("IMPORTRANGE(""https://docs.google.com/spreadsheets/d/1SX6NBoVAgQJ6U1MVXOaj8PK2l7WJ3RER9xtqwdhxkhw/edit?usp=sharing"",""อ่างทอง!J129"")"),0.0)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IFERROR(__xludf.DUMMYFUNCTION("IMPORTRANGE(""https://docs.google.com/spreadsheets/d/1SX6NBoVAgQJ6U1MVXOaj8PK2l7WJ3RER9xtqwdhxkhw/edit?usp=sharing"",""อ่างทอง!J134"")"),0.0)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IFERROR(__xludf.DUMMYFUNCTION("IMPORTRANGE(""https://docs.google.com/spreadsheets/d/1SX6NBoVAgQJ6U1MVXOaj8PK2l7WJ3RER9xtqwdhxkhw/edit?usp=sharing"",""อ่างทอง!J135"")"),0.0)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IFERROR(__xludf.DUMMYFUNCTION("IMPORTRANGE(""https://docs.google.com/spreadsheets/d/1SX6NBoVAgQJ6U1MVXOaj8PK2l7WJ3RER9xtqwdhxkhw/edit?usp=sharing"",""อ่างทอง!J136"")"),0.0)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IFERROR(__xludf.DUMMYFUNCTION("IMPORTRANGE(""https://docs.google.com/spreadsheets/d/1SX6NBoVAgQJ6U1MVXOaj8PK2l7WJ3RER9xtqwdhxkhw/edit?usp=sharing"",""อ่างทอง!J137"")"),0.0)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IFERROR(__xludf.DUMMYFUNCTION("IMPORTRANGE(""https://docs.google.com/spreadsheets/d/1SX6NBoVAgQJ6U1MVXOaj8PK2l7WJ3RER9xtqwdhxkhw/edit?usp=sharing"",""อ่างทอง!I138"")"),0.0)</f>
        <v>0</v>
      </c>
      <c r="J213" s="238">
        <f>IFERROR(__xludf.DUMMYFUNCTION("IMPORTRANGE(""https://docs.google.com/spreadsheets/d/1SX6NBoVAgQJ6U1MVXOaj8PK2l7WJ3RER9xtqwdhxkhw/edit?usp=sharing"",""อ่างทอง!J138"")"),0.0)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IFERROR(__xludf.DUMMYFUNCTION("IMPORTRANGE(""https://docs.google.com/spreadsheets/d/1SX6NBoVAgQJ6U1MVXOaj8PK2l7WJ3RER9xtqwdhxkhw/edit?usp=sharing"",""อ่างทอง!I140"")"),0.0)</f>
        <v>0</v>
      </c>
      <c r="J215" s="238">
        <f>IFERROR(__xludf.DUMMYFUNCTION("IMPORTRANGE(""https://docs.google.com/spreadsheets/d/1SX6NBoVAgQJ6U1MVXOaj8PK2l7WJ3RER9xtqwdhxkhw/edit?usp=sharing"",""อ่างทอง!J140"")"),0.0)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IFERROR(__xludf.DUMMYFUNCTION("IMPORTRANGE(""https://docs.google.com/spreadsheets/d/1SX6NBoVAgQJ6U1MVXOaj8PK2l7WJ3RER9xtqwdhxkhw/edit?usp=sharing"",""อ่างทอง!I141"")"),0.0)</f>
        <v>0</v>
      </c>
      <c r="J216" s="238">
        <f>IFERROR(__xludf.DUMMYFUNCTION("IMPORTRANGE(""https://docs.google.com/spreadsheets/d/1SX6NBoVAgQJ6U1MVXOaj8PK2l7WJ3RER9xtqwdhxkhw/edit?usp=sharing"",""อ่างทอง!J141"")"),0.0)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IFERROR(__xludf.DUMMYFUNCTION("IMPORTRANGE(""https://docs.google.com/spreadsheets/d/1SX6NBoVAgQJ6U1MVXOaj8PK2l7WJ3RER9xtqwdhxkhw/edit?usp=sharing"",""อ่างทอง!J142"")"),0.0)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IFERROR(__xludf.DUMMYFUNCTION("IMPORTRANGE(""https://docs.google.com/spreadsheets/d/1SX6NBoVAgQJ6U1MVXOaj8PK2l7WJ3RER9xtqwdhxkhw/edit?usp=sharing"",""อ่างทอง!J143"")"),0.0)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IFERROR(__xludf.DUMMYFUNCTION("IMPORTRANGE(""https://docs.google.com/spreadsheets/d/1SX6NBoVAgQJ6U1MVXOaj8PK2l7WJ3RER9xtqwdhxkhw/edit?usp=sharing"",""อ่างทอง!I144"")"),0.0)</f>
        <v>0</v>
      </c>
      <c r="J219" s="301">
        <f>IFERROR(__xludf.DUMMYFUNCTION("IMPORTRANGE(""https://docs.google.com/spreadsheets/d/1SX6NBoVAgQJ6U1MVXOaj8PK2l7WJ3RER9xtqwdhxkhw/edit?usp=sharing"",""อ่างทอง!J144"")"),0.0)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0</v>
      </c>
      <c r="M220" s="183">
        <f t="shared" si="73"/>
        <v>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0</v>
      </c>
      <c r="M222" s="188">
        <f t="shared" si="77"/>
        <v>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0</v>
      </c>
      <c r="M224" s="201">
        <f>IFERROR(__xludf.DUMMYFUNCTION("IMPORTRANGE(""https://docs.google.com/spreadsheets/d/1Yj_ptqi66GCucihVvJfMjLAmec39IyEx_6qawtMGysU/edit?usp=sharing"",""สบก!BS79"")"),0.0)</f>
        <v>0</v>
      </c>
      <c r="N224" s="202">
        <f>IFERROR(__xludf.DUMMYFUNCTION("IMPORTRANGE(""https://docs.google.com/spreadsheets/d/1Yj_ptqi66GCucihVvJfMjLAmec39IyEx_6qawtMGysU/edit?usp=sharing"",""สบก!BT79"")"),0.0)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IFERROR(__xludf.DUMMYFUNCTION("IMPORTRANGE(""https://docs.google.com/spreadsheets/d/1Yj_ptqi66GCucihVvJfMjLAmec39IyEx_6qawtMGysU/edit?usp=sharing"",""สบก!BO79"")"),0.0)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IFERROR(__xludf.DUMMYFUNCTION("IMPORTRANGE(""https://docs.google.com/spreadsheets/d/1Yj_ptqi66GCucihVvJfMjLAmec39IyEx_6qawtMGysU/edit?usp=sharing"",""สบก!BP79"")"),0.0)</f>
        <v>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IFERROR(__xludf.DUMMYFUNCTION("IMPORTRANGE(""https://docs.google.com/spreadsheets/d/1Yj_ptqi66GCucihVvJfMjLAmec39IyEx_6qawtMGysU/edit?usp=sharing"",""สบก!BQ79"")"),0.0)</f>
        <v>0</v>
      </c>
      <c r="M228" s="125"/>
      <c r="N228" s="115">
        <f>IFERROR(__xludf.DUMMYFUNCTION("IMPORTRANGE(""https://docs.google.com/spreadsheets/d/1Yj_ptqi66GCucihVvJfMjLAmec39IyEx_6qawtMGysU/edit?usp=sharing"",""สบก!BU79"")"),0.0)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IFERROR(__xludf.DUMMYFUNCTION("IMPORTRANGE(""https://docs.google.com/spreadsheets/d/1SX6NBoVAgQJ6U1MVXOaj8PK2l7WJ3RER9xtqwdhxkhw/edit?usp=sharing"",""อ่างทอง!I149"")"),0.0)</f>
        <v>0</v>
      </c>
      <c r="J229" s="301">
        <f>IFERROR(__xludf.DUMMYFUNCTION("IMPORTRANGE(""https://docs.google.com/spreadsheets/d/1SX6NBoVAgQJ6U1MVXOaj8PK2l7WJ3RER9xtqwdhxkhw/edit?usp=sharing"",""อ่างทอง!J149"")"),0.0)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IFERROR(__xludf.DUMMYFUNCTION("IMPORTRANGE(""https://docs.google.com/spreadsheets/d/1SX6NBoVAgQJ6U1MVXOaj8PK2l7WJ3RER9xtqwdhxkhw/edit?usp=sharing"",""อ่างทอง!J151"")"),0.0)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IFERROR(__xludf.DUMMYFUNCTION("IMPORTRANGE(""https://docs.google.com/spreadsheets/d/1SX6NBoVAgQJ6U1MVXOaj8PK2l7WJ3RER9xtqwdhxkhw/edit?usp=sharing"",""อ่างทอง!J152"")"),0.0)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IFERROR(__xludf.DUMMYFUNCTION("IMPORTRANGE(""https://docs.google.com/spreadsheets/d/1SX6NBoVAgQJ6U1MVXOaj8PK2l7WJ3RER9xtqwdhxkhw/edit?usp=sharing"",""อ่างทอง!J153"")"),0.0)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IFERROR(__xludf.DUMMYFUNCTION("IMPORTRANGE(""https://docs.google.com/spreadsheets/d/1SX6NBoVAgQJ6U1MVXOaj8PK2l7WJ3RER9xtqwdhxkhw/edit?usp=sharing"",""อ่างทอง!J154"")"),0.0)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IFERROR(__xludf.DUMMYFUNCTION("IMPORTRANGE(""https://docs.google.com/spreadsheets/d/1SX6NBoVAgQJ6U1MVXOaj8PK2l7WJ3RER9xtqwdhxkhw/edit?usp=sharing"",""อ่างทอง!I155"")"),0.0)</f>
        <v>0</v>
      </c>
      <c r="J235" s="223">
        <f>IFERROR(__xludf.DUMMYFUNCTION("IMPORTRANGE(""https://docs.google.com/spreadsheets/d/1SX6NBoVAgQJ6U1MVXOaj8PK2l7WJ3RER9xtqwdhxkhw/edit?usp=sharing"",""อ่างทอง!J155"")"),0.0)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IFERROR(__xludf.DUMMYFUNCTION("IMPORTRANGE(""https://docs.google.com/spreadsheets/d/1SX6NBoVAgQJ6U1MVXOaj8PK2l7WJ3RER9xtqwdhxkhw/edit?usp=sharing"",""อ่างทอง!J156"")"),0.0)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IFERROR(__xludf.DUMMYFUNCTION("IMPORTRANGE(""https://docs.google.com/spreadsheets/d/1SX6NBoVAgQJ6U1MVXOaj8PK2l7WJ3RER9xtqwdhxkhw/edit?usp=sharing"",""อ่างทอง!J157"")"),0.0)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IFERROR(__xludf.DUMMYFUNCTION("IMPORTRANGE(""https://docs.google.com/spreadsheets/d/1SX6NBoVAgQJ6U1MVXOaj8PK2l7WJ3RER9xtqwdhxkhw/edit?usp=sharing"",""อ่างทอง!I158"")"),0.0)</f>
        <v>0</v>
      </c>
      <c r="J238" s="301">
        <f>IFERROR(__xludf.DUMMYFUNCTION("IMPORTRANGE(""https://docs.google.com/spreadsheets/d/1SX6NBoVAgQJ6U1MVXOaj8PK2l7WJ3RER9xtqwdhxkhw/edit?usp=sharing"",""อ่างทอง!J158"")"),0.0)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IFERROR(__xludf.DUMMYFUNCTION("IMPORTRANGE(""https://docs.google.com/spreadsheets/d/1SX6NBoVAgQJ6U1MVXOaj8PK2l7WJ3RER9xtqwdhxkhw/edit?usp=sharing"",""อ่างทอง!J159"")"),"")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IFERROR(__xludf.DUMMYFUNCTION("IMPORTRANGE(""https://docs.google.com/spreadsheets/d/1SX6NBoVAgQJ6U1MVXOaj8PK2l7WJ3RER9xtqwdhxkhw/edit?usp=sharing"",""อ่างทอง!J161"")"),0.0)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IFERROR(__xludf.DUMMYFUNCTION("IMPORTRANGE(""https://docs.google.com/spreadsheets/d/1SX6NBoVAgQJ6U1MVXOaj8PK2l7WJ3RER9xtqwdhxkhw/edit?usp=sharing"",""อ่างทอง!J162"")"),0.0)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IFERROR(__xludf.DUMMYFUNCTION("IMPORTRANGE(""https://docs.google.com/spreadsheets/d/1SX6NBoVAgQJ6U1MVXOaj8PK2l7WJ3RER9xtqwdhxkhw/edit?usp=sharing"",""อ่างทอง!J163"")"),0.0)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IFERROR(__xludf.DUMMYFUNCTION("IMPORTRANGE(""https://docs.google.com/spreadsheets/d/1SX6NBoVAgQJ6U1MVXOaj8PK2l7WJ3RER9xtqwdhxkhw/edit?usp=sharing"",""อ่างทอง!I164"")"),0.0)</f>
        <v>0</v>
      </c>
      <c r="J244" s="222">
        <f>IFERROR(__xludf.DUMMYFUNCTION("IMPORTRANGE(""https://docs.google.com/spreadsheets/d/1SX6NBoVAgQJ6U1MVXOaj8PK2l7WJ3RER9xtqwdhxkhw/edit?usp=sharing"",""อ่างทอง!J164"")"),0.0)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IFERROR(__xludf.DUMMYFUNCTION("IMPORTRANGE(""https://docs.google.com/spreadsheets/d/1SX6NBoVAgQJ6U1MVXOaj8PK2l7WJ3RER9xtqwdhxkhw/edit?usp=sharing"",""อ่างทอง!J165"")"),0.0)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IFERROR(__xludf.DUMMYFUNCTION("IMPORTRANGE(""https://docs.google.com/spreadsheets/d/1SX6NBoVAgQJ6U1MVXOaj8PK2l7WJ3RER9xtqwdhxkhw/edit?usp=sharing"",""อ่างทอง!J166"")"),0.0)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IFERROR(__xludf.DUMMYFUNCTION("IMPORTRANGE(""https://docs.google.com/spreadsheets/d/1SX6NBoVAgQJ6U1MVXOaj8PK2l7WJ3RER9xtqwdhxkhw/edit?usp=sharing"",""อ่างทอง!I169"")"),0.0)</f>
        <v>0</v>
      </c>
      <c r="J249" s="349">
        <f>IFERROR(__xludf.DUMMYFUNCTION("IMPORTRANGE(""https://docs.google.com/spreadsheets/d/1SX6NBoVAgQJ6U1MVXOaj8PK2l7WJ3RER9xtqwdhxkhw/edit?usp=sharing"",""อ่างทอง!J169"")"),0.0)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IFERROR(__xludf.DUMMYFUNCTION("IMPORTRANGE(""https://docs.google.com/spreadsheets/d/1Yj_ptqi66GCucihVvJfMjLAmec39IyEx_6qawtMGysU/edit?usp=sharing"",""สบก!CB79"")"),0.0)</f>
        <v>0</v>
      </c>
      <c r="N254" s="202">
        <f>IFERROR(__xludf.DUMMYFUNCTION("IMPORTRANGE(""https://docs.google.com/spreadsheets/d/1Yj_ptqi66GCucihVvJfMjLAmec39IyEx_6qawtMGysU/edit?usp=sharing"",""สบก!CC79"")"),0.0)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IFERROR(__xludf.DUMMYFUNCTION("IMPORTRANGE(""https://docs.google.com/spreadsheets/d/1Yj_ptqi66GCucihVvJfMjLAmec39IyEx_6qawtMGysU/edit?usp=sharing"",""สบก!BX79"")"),0.0)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IFERROR(__xludf.DUMMYFUNCTION("IMPORTRANGE(""https://docs.google.com/spreadsheets/d/1Yj_ptqi66GCucihVvJfMjLAmec39IyEx_6qawtMGysU/edit?usp=sharing"",""สบก!BY79"")"),0.0)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IFERROR(__xludf.DUMMYFUNCTION("IMPORTRANGE(""https://docs.google.com/spreadsheets/d/1Yj_ptqi66GCucihVvJfMjLAmec39IyEx_6qawtMGysU/edit?usp=sharing"",""สบก!BZ79"")"),0.0)</f>
        <v>0</v>
      </c>
      <c r="M258" s="125"/>
      <c r="N258" s="115">
        <f>IFERROR(__xludf.DUMMYFUNCTION("IMPORTRANGE(""https://docs.google.com/spreadsheets/d/1Yj_ptqi66GCucihVvJfMjLAmec39IyEx_6qawtMGysU/edit?usp=sharing"",""สบก!CD79"")"),0.0)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IFERROR(__xludf.DUMMYFUNCTION("IMPORTRANGE(""https://docs.google.com/spreadsheets/d/1SX6NBoVAgQJ6U1MVXOaj8PK2l7WJ3RER9xtqwdhxkhw/edit?usp=sharing"",""อ่างทอง!J175"")"),0.0)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IFERROR(__xludf.DUMMYFUNCTION("IMPORTRANGE(""https://docs.google.com/spreadsheets/d/1SX6NBoVAgQJ6U1MVXOaj8PK2l7WJ3RER9xtqwdhxkhw/edit?usp=sharing"",""อ่างทอง!J176"")"),0.0)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IFERROR(__xludf.DUMMYFUNCTION("IMPORTRANGE(""https://docs.google.com/spreadsheets/d/1SX6NBoVAgQJ6U1MVXOaj8PK2l7WJ3RER9xtqwdhxkhw/edit?usp=sharing"",""อ่างทอง!J177"")"),0.0)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IFERROR(__xludf.DUMMYFUNCTION("IMPORTRANGE(""https://docs.google.com/spreadsheets/d/1SX6NBoVAgQJ6U1MVXOaj8PK2l7WJ3RER9xtqwdhxkhw/edit?usp=sharing"",""อ่างทอง!J178"")"),0.0)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IFERROR(__xludf.DUMMYFUNCTION("IMPORTRANGE(""https://docs.google.com/spreadsheets/d/1SX6NBoVAgQJ6U1MVXOaj8PK2l7WJ3RER9xtqwdhxkhw/edit?usp=sharing"",""อ่างทอง!I179"")"),0.0)</f>
        <v>0</v>
      </c>
      <c r="J264" s="223">
        <f>IFERROR(__xludf.DUMMYFUNCTION("IMPORTRANGE(""https://docs.google.com/spreadsheets/d/1SX6NBoVAgQJ6U1MVXOaj8PK2l7WJ3RER9xtqwdhxkhw/edit?usp=sharing"",""อ่างทอง!J179"")"),0.0)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IFERROR(__xludf.DUMMYFUNCTION("IMPORTRANGE(""https://docs.google.com/spreadsheets/d/1SX6NBoVAgQJ6U1MVXOaj8PK2l7WJ3RER9xtqwdhxkhw/edit?usp=sharing"",""อ่างทอง!I180"")"),0.0)</f>
        <v>0</v>
      </c>
      <c r="J265" s="223">
        <f>IFERROR(__xludf.DUMMYFUNCTION("IMPORTRANGE(""https://docs.google.com/spreadsheets/d/1SX6NBoVAgQJ6U1MVXOaj8PK2l7WJ3RER9xtqwdhxkhw/edit?usp=sharing"",""อ่างทอง!J180"")"),0.0)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IFERROR(__xludf.DUMMYFUNCTION("IMPORTRANGE(""https://docs.google.com/spreadsheets/d/1SX6NBoVAgQJ6U1MVXOaj8PK2l7WJ3RER9xtqwdhxkhw/edit?usp=sharing"",""อ่างทอง!I181"")"),0.0)</f>
        <v>0</v>
      </c>
      <c r="J266" s="223">
        <f>IFERROR(__xludf.DUMMYFUNCTION("IMPORTRANGE(""https://docs.google.com/spreadsheets/d/1SX6NBoVAgQJ6U1MVXOaj8PK2l7WJ3RER9xtqwdhxkhw/edit?usp=sharing"",""อ่างทอง!J181"")"),0.0)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IFERROR(__xludf.DUMMYFUNCTION("IMPORTRANGE(""https://docs.google.com/spreadsheets/d/1SX6NBoVAgQJ6U1MVXOaj8PK2l7WJ3RER9xtqwdhxkhw/edit?usp=sharing"",""อ่างทอง!I182"")"),0.0)</f>
        <v>0</v>
      </c>
      <c r="J267" s="223">
        <f>IFERROR(__xludf.DUMMYFUNCTION("IMPORTRANGE(""https://docs.google.com/spreadsheets/d/1SX6NBoVAgQJ6U1MVXOaj8PK2l7WJ3RER9xtqwdhxkhw/edit?usp=sharing"",""อ่างทอง!J182"")"),0.0)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IFERROR(__xludf.DUMMYFUNCTION("IMPORTRANGE(""https://docs.google.com/spreadsheets/d/1SX6NBoVAgQJ6U1MVXOaj8PK2l7WJ3RER9xtqwdhxkhw/edit?usp=sharing"",""อ่างทอง!J183"")"),0.0)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IFERROR(__xludf.DUMMYFUNCTION("IMPORTRANGE(""https://docs.google.com/spreadsheets/d/1SX6NBoVAgQJ6U1MVXOaj8PK2l7WJ3RER9xtqwdhxkhw/edit?usp=sharing"",""อ่างทอง!J184"")"),0.0)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IFERROR(__xludf.DUMMYFUNCTION("IMPORTRANGE(""https://docs.google.com/spreadsheets/d/1SX6NBoVAgQJ6U1MVXOaj8PK2l7WJ3RER9xtqwdhxkhw/edit?usp=sharing"",""อ่างทอง!I185"")"),0.0)</f>
        <v>0</v>
      </c>
      <c r="J270" s="349">
        <f>IFERROR(__xludf.DUMMYFUNCTION("IMPORTRANGE(""https://docs.google.com/spreadsheets/d/1SX6NBoVAgQJ6U1MVXOaj8PK2l7WJ3RER9xtqwdhxkhw/edit?usp=sharing"",""อ่างทอง!J185"")"),0.0)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IFERROR(__xludf.DUMMYFUNCTION("IMPORTRANGE(""https://docs.google.com/spreadsheets/d/1Yj_ptqi66GCucihVvJfMjLAmec39IyEx_6qawtMGysU/edit?usp=sharing"",""สบก!CK79"")"),0.0)</f>
        <v>0</v>
      </c>
      <c r="N275" s="202">
        <f>IFERROR(__xludf.DUMMYFUNCTION("IMPORTRANGE(""https://docs.google.com/spreadsheets/d/1Yj_ptqi66GCucihVvJfMjLAmec39IyEx_6qawtMGysU/edit?usp=sharing"",""สบก!CL79"")"),0.0)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IFERROR(__xludf.DUMMYFUNCTION("IMPORTRANGE(""https://docs.google.com/spreadsheets/d/1Yj_ptqi66GCucihVvJfMjLAmec39IyEx_6qawtMGysU/edit?usp=sharing"",""สบก!CG79"")"),0.0)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IFERROR(__xludf.DUMMYFUNCTION("IMPORTRANGE(""https://docs.google.com/spreadsheets/d/1Yj_ptqi66GCucihVvJfMjLAmec39IyEx_6qawtMGysU/edit?usp=sharing"",""สบก!CH79"")"),0.0)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IFERROR(__xludf.DUMMYFUNCTION("IMPORTRANGE(""https://docs.google.com/spreadsheets/d/1Yj_ptqi66GCucihVvJfMjLAmec39IyEx_6qawtMGysU/edit?usp=sharing"",""สบก!CI79"")"),0.0)</f>
        <v>0</v>
      </c>
      <c r="M279" s="125"/>
      <c r="N279" s="115">
        <f>IFERROR(__xludf.DUMMYFUNCTION("IMPORTRANGE(""https://docs.google.com/spreadsheets/d/1Yj_ptqi66GCucihVvJfMjLAmec39IyEx_6qawtMGysU/edit?usp=sharing"",""สบก!CM79"")"),0.0)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IFERROR(__xludf.DUMMYFUNCTION("IMPORTRANGE(""https://docs.google.com/spreadsheets/d/1SX6NBoVAgQJ6U1MVXOaj8PK2l7WJ3RER9xtqwdhxkhw/edit?usp=sharing"",""อ่างทอง!J191"")"),0.0)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IFERROR(__xludf.DUMMYFUNCTION("IMPORTRANGE(""https://docs.google.com/spreadsheets/d/1SX6NBoVAgQJ6U1MVXOaj8PK2l7WJ3RER9xtqwdhxkhw/edit?usp=sharing"",""อ่างทอง!J192"")"),0.0)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IFERROR(__xludf.DUMMYFUNCTION("IMPORTRANGE(""https://docs.google.com/spreadsheets/d/1SX6NBoVAgQJ6U1MVXOaj8PK2l7WJ3RER9xtqwdhxkhw/edit?usp=sharing"",""อ่างทอง!J193"")"),0.0)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IFERROR(__xludf.DUMMYFUNCTION("IMPORTRANGE(""https://docs.google.com/spreadsheets/d/1SX6NBoVAgQJ6U1MVXOaj8PK2l7WJ3RER9xtqwdhxkhw/edit?usp=sharing"",""อ่างทอง!J194"")"),0.0)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IFERROR(__xludf.DUMMYFUNCTION("IMPORTRANGE(""https://docs.google.com/spreadsheets/d/1SX6NBoVAgQJ6U1MVXOaj8PK2l7WJ3RER9xtqwdhxkhw/edit?usp=sharing"",""อ่างทอง!I195"")"),0.0)</f>
        <v>0</v>
      </c>
      <c r="J285" s="223">
        <f>IFERROR(__xludf.DUMMYFUNCTION("IMPORTRANGE(""https://docs.google.com/spreadsheets/d/1SX6NBoVAgQJ6U1MVXOaj8PK2l7WJ3RER9xtqwdhxkhw/edit?usp=sharing"",""อ่างทอง!J195"")"),0.0)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IFERROR(__xludf.DUMMYFUNCTION("IMPORTRANGE(""https://docs.google.com/spreadsheets/d/1SX6NBoVAgQJ6U1MVXOaj8PK2l7WJ3RER9xtqwdhxkhw/edit?usp=sharing"",""อ่างทอง!J196"")"),0.0)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IFERROR(__xludf.DUMMYFUNCTION("IMPORTRANGE(""https://docs.google.com/spreadsheets/d/1SX6NBoVAgQJ6U1MVXOaj8PK2l7WJ3RER9xtqwdhxkhw/edit?usp=sharing"",""อ่างทอง!J197"")"),0.0)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IFERROR(__xludf.DUMMYFUNCTION("IMPORTRANGE(""https://docs.google.com/spreadsheets/d/1SX6NBoVAgQJ6U1MVXOaj8PK2l7WJ3RER9xtqwdhxkhw/edit?usp=sharing"",""อ่างทอง!I199"")"),0.0)</f>
        <v>0</v>
      </c>
      <c r="J289" s="349">
        <f>IFERROR(__xludf.DUMMYFUNCTION("IMPORTRANGE(""https://docs.google.com/spreadsheets/d/1SX6NBoVAgQJ6U1MVXOaj8PK2l7WJ3RER9xtqwdhxkhw/edit?usp=sharing"",""อ่างทอง!J199"")"),0.0)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IFERROR(__xludf.DUMMYFUNCTION("IMPORTRANGE(""https://docs.google.com/spreadsheets/d/1Yj_ptqi66GCucihVvJfMjLAmec39IyEx_6qawtMGysU/edit?usp=sharing"",""สบก!CT79"")"),0.0)</f>
        <v>0</v>
      </c>
      <c r="N294" s="202">
        <f>IFERROR(__xludf.DUMMYFUNCTION("IMPORTRANGE(""https://docs.google.com/spreadsheets/d/1Yj_ptqi66GCucihVvJfMjLAmec39IyEx_6qawtMGysU/edit?usp=sharing"",""สบก!CU79"")"),0.0)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IFERROR(__xludf.DUMMYFUNCTION("IMPORTRANGE(""https://docs.google.com/spreadsheets/d/1Yj_ptqi66GCucihVvJfMjLAmec39IyEx_6qawtMGysU/edit?usp=sharing"",""สบก!CP79"")"),0.0)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IFERROR(__xludf.DUMMYFUNCTION("IMPORTRANGE(""https://docs.google.com/spreadsheets/d/1Yj_ptqi66GCucihVvJfMjLAmec39IyEx_6qawtMGysU/edit?usp=sharing"",""สบก!CQ79"")"),0.0)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IFERROR(__xludf.DUMMYFUNCTION("IMPORTRANGE(""https://docs.google.com/spreadsheets/d/1Yj_ptqi66GCucihVvJfMjLAmec39IyEx_6qawtMGysU/edit?usp=sharing"",""สบก!CR79"")"),0.0)</f>
        <v>0</v>
      </c>
      <c r="M298" s="125"/>
      <c r="N298" s="115">
        <f>IFERROR(__xludf.DUMMYFUNCTION("IMPORTRANGE(""https://docs.google.com/spreadsheets/d/1Yj_ptqi66GCucihVvJfMjLAmec39IyEx_6qawtMGysU/edit?usp=sharing"",""สบก!CV79"")"),0.0)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IFERROR(__xludf.DUMMYFUNCTION("IMPORTRANGE(""https://docs.google.com/spreadsheets/d/1SX6NBoVAgQJ6U1MVXOaj8PK2l7WJ3RER9xtqwdhxkhw/edit?usp=sharing"",""อ่างทอง!J205"")"),0.0)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IFERROR(__xludf.DUMMYFUNCTION("IMPORTRANGE(""https://docs.google.com/spreadsheets/d/1SX6NBoVAgQJ6U1MVXOaj8PK2l7WJ3RER9xtqwdhxkhw/edit?usp=sharing"",""อ่างทอง!J206"")"),0.0)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IFERROR(__xludf.DUMMYFUNCTION("IMPORTRANGE(""https://docs.google.com/spreadsheets/d/1SX6NBoVAgQJ6U1MVXOaj8PK2l7WJ3RER9xtqwdhxkhw/edit?usp=sharing"",""อ่างทอง!J207"")"),0.0)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IFERROR(__xludf.DUMMYFUNCTION("IMPORTRANGE(""https://docs.google.com/spreadsheets/d/1SX6NBoVAgQJ6U1MVXOaj8PK2l7WJ3RER9xtqwdhxkhw/edit?usp=sharing"",""อ่างทอง!J208"")"),0.0)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IFERROR(__xludf.DUMMYFUNCTION("IMPORTRANGE(""https://docs.google.com/spreadsheets/d/1SX6NBoVAgQJ6U1MVXOaj8PK2l7WJ3RER9xtqwdhxkhw/edit?usp=sharing"",""อ่างทอง!I209"")"),0.0)</f>
        <v>0</v>
      </c>
      <c r="J304" s="238">
        <f>IFERROR(__xludf.DUMMYFUNCTION("IMPORTRANGE(""https://docs.google.com/spreadsheets/d/1SX6NBoVAgQJ6U1MVXOaj8PK2l7WJ3RER9xtqwdhxkhw/edit?usp=sharing"",""อ่างทอง!J209"")"),0.0)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IFERROR(__xludf.DUMMYFUNCTION("IMPORTRANGE(""https://docs.google.com/spreadsheets/d/1SX6NBoVAgQJ6U1MVXOaj8PK2l7WJ3RER9xtqwdhxkhw/edit?usp=sharing"",""อ่างทอง!I211"")"),0.0)</f>
        <v>0</v>
      </c>
      <c r="J306" s="238">
        <f>IFERROR(__xludf.DUMMYFUNCTION("IMPORTRANGE(""https://docs.google.com/spreadsheets/d/1SX6NBoVAgQJ6U1MVXOaj8PK2l7WJ3RER9xtqwdhxkhw/edit?usp=sharing"",""อ่างทอง!J211"")"),0.0)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IFERROR(__xludf.DUMMYFUNCTION("IMPORTRANGE(""https://docs.google.com/spreadsheets/d/1SX6NBoVAgQJ6U1MVXOaj8PK2l7WJ3RER9xtqwdhxkhw/edit?usp=sharing"",""อ่างทอง!J212"")"),0.0)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IFERROR(__xludf.DUMMYFUNCTION("IMPORTRANGE(""https://docs.google.com/spreadsheets/d/1SX6NBoVAgQJ6U1MVXOaj8PK2l7WJ3RER9xtqwdhxkhw/edit?usp=sharing"",""อ่างทอง!J213"")"),0.0)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IFERROR(__xludf.DUMMYFUNCTION("IMPORTRANGE(""https://docs.google.com/spreadsheets/d/1SX6NBoVAgQJ6U1MVXOaj8PK2l7WJ3RER9xtqwdhxkhw/edit?usp=sharing"",""อ่างทอง!I214"")"),0.0)</f>
        <v>0</v>
      </c>
      <c r="J309" s="366">
        <f>IFERROR(__xludf.DUMMYFUNCTION("IMPORTRANGE(""https://docs.google.com/spreadsheets/d/1SX6NBoVAgQJ6U1MVXOaj8PK2l7WJ3RER9xtqwdhxkhw/edit?usp=sharing"",""อ่างทอง!J214"")"),0.0)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IFERROR(__xludf.DUMMYFUNCTION("IMPORTRANGE(""https://docs.google.com/spreadsheets/d/1Yj_ptqi66GCucihVvJfMjLAmec39IyEx_6qawtMGysU/edit?usp=sharing"",""สบก!DC79"")"),0.0)</f>
        <v>0</v>
      </c>
      <c r="N314" s="202">
        <f>IFERROR(__xludf.DUMMYFUNCTION("IMPORTRANGE(""https://docs.google.com/spreadsheets/d/1Yj_ptqi66GCucihVvJfMjLAmec39IyEx_6qawtMGysU/edit?usp=sharing"",""สบก!DD79"")"),0.0)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IFERROR(__xludf.DUMMYFUNCTION("IMPORTRANGE(""https://docs.google.com/spreadsheets/d/1Yj_ptqi66GCucihVvJfMjLAmec39IyEx_6qawtMGysU/edit?usp=sharing"",""สบก!CY79"")"),0.0)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IFERROR(__xludf.DUMMYFUNCTION("IMPORTRANGE(""https://docs.google.com/spreadsheets/d/1Yj_ptqi66GCucihVvJfMjLAmec39IyEx_6qawtMGysU/edit?usp=sharing"",""สบก!CZ79"")"),0.0)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IFERROR(__xludf.DUMMYFUNCTION("IMPORTRANGE(""https://docs.google.com/spreadsheets/d/1Yj_ptqi66GCucihVvJfMjLAmec39IyEx_6qawtMGysU/edit?usp=sharing"",""สบก!DA79"")"),0.0)</f>
        <v>0</v>
      </c>
      <c r="M318" s="125"/>
      <c r="N318" s="115">
        <f>IFERROR(__xludf.DUMMYFUNCTION("IMPORTRANGE(""https://docs.google.com/spreadsheets/d/1Yj_ptqi66GCucihVvJfMjLAmec39IyEx_6qawtMGysU/edit?usp=sharing"",""สบก!DE79"")"),0.0)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IFERROR(__xludf.DUMMYFUNCTION("IMPORTRANGE(""https://docs.google.com/spreadsheets/d/1SX6NBoVAgQJ6U1MVXOaj8PK2l7WJ3RER9xtqwdhxkhw/edit?usp=sharing"",""อ่างทอง!J220"")"),0.0)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IFERROR(__xludf.DUMMYFUNCTION("IMPORTRANGE(""https://docs.google.com/spreadsheets/d/1SX6NBoVAgQJ6U1MVXOaj8PK2l7WJ3RER9xtqwdhxkhw/edit?usp=sharing"",""อ่างทอง!J221"")"),0.0)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IFERROR(__xludf.DUMMYFUNCTION("IMPORTRANGE(""https://docs.google.com/spreadsheets/d/1SX6NBoVAgQJ6U1MVXOaj8PK2l7WJ3RER9xtqwdhxkhw/edit?usp=sharing"",""อ่างทอง!J222"")"),0.0)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IFERROR(__xludf.DUMMYFUNCTION("IMPORTRANGE(""https://docs.google.com/spreadsheets/d/1SX6NBoVAgQJ6U1MVXOaj8PK2l7WJ3RER9xtqwdhxkhw/edit?usp=sharing"",""อ่างทอง!J223"")"),0.0)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IFERROR(__xludf.DUMMYFUNCTION("IMPORTRANGE(""https://docs.google.com/spreadsheets/d/1SX6NBoVAgQJ6U1MVXOaj8PK2l7WJ3RER9xtqwdhxkhw/edit?usp=sharing"",""อ่างทอง!I224"")"),0.0)</f>
        <v>0</v>
      </c>
      <c r="J324" s="238">
        <f>IFERROR(__xludf.DUMMYFUNCTION("IMPORTRANGE(""https://docs.google.com/spreadsheets/d/1SX6NBoVAgQJ6U1MVXOaj8PK2l7WJ3RER9xtqwdhxkhw/edit?usp=sharing"",""อ่างทอง!J224"")"),0.0)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IFERROR(__xludf.DUMMYFUNCTION("IMPORTRANGE(""https://docs.google.com/spreadsheets/d/1SX6NBoVAgQJ6U1MVXOaj8PK2l7WJ3RER9xtqwdhxkhw/edit?usp=sharing"",""อ่างทอง!J225"")"),0.0)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IFERROR(__xludf.DUMMYFUNCTION("IMPORTRANGE(""https://docs.google.com/spreadsheets/d/1SX6NBoVAgQJ6U1MVXOaj8PK2l7WJ3RER9xtqwdhxkhw/edit?usp=sharing"",""อ่างทอง!J226"")"),0.0)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IFERROR(__xludf.DUMMYFUNCTION("IMPORTRANGE(""https://docs.google.com/spreadsheets/d/1SX6NBoVAgQJ6U1MVXOaj8PK2l7WJ3RER9xtqwdhxkhw/edit?usp=sharing"",""อ่างทอง!I228"")"),0.0)</f>
        <v>0</v>
      </c>
      <c r="J328" s="372">
        <f>IFERROR(__xludf.DUMMYFUNCTION("IMPORTRANGE(""https://docs.google.com/spreadsheets/d/1SX6NBoVAgQJ6U1MVXOaj8PK2l7WJ3RER9xtqwdhxkhw/edit?usp=sharing"",""อ่างทอง!J228"")"),0.0)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688910</v>
      </c>
      <c r="M329" s="183">
        <f t="shared" si="99"/>
        <v>270960</v>
      </c>
      <c r="N329" s="183">
        <f t="shared" si="99"/>
        <v>288947</v>
      </c>
      <c r="O329" s="182">
        <f t="shared" ref="O329:O331" si="101">IF(L329&gt;0,N329*100/L329,0)</f>
        <v>41.94263402</v>
      </c>
      <c r="P329" s="182">
        <f t="shared" ref="P329:P331" si="102">IF(M329&gt;0,N329*100/M329,0)</f>
        <v>106.6382492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688910</v>
      </c>
      <c r="M331" s="188">
        <f t="shared" si="103"/>
        <v>270960</v>
      </c>
      <c r="N331" s="188">
        <f t="shared" si="103"/>
        <v>288947</v>
      </c>
      <c r="O331" s="187">
        <f t="shared" si="101"/>
        <v>41.94263402</v>
      </c>
      <c r="P331" s="187">
        <f t="shared" si="102"/>
        <v>106.6382492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541910</v>
      </c>
      <c r="M333" s="201">
        <f>IFERROR(__xludf.DUMMYFUNCTION("IMPORTRANGE(""https://docs.google.com/spreadsheets/d/1Yj_ptqi66GCucihVvJfMjLAmec39IyEx_6qawtMGysU/edit?usp=sharing"",""สบก!DL79"")"),270960.0)</f>
        <v>270960</v>
      </c>
      <c r="N333" s="202">
        <f>IFERROR(__xludf.DUMMYFUNCTION("IMPORTRANGE(""https://docs.google.com/spreadsheets/d/1Yj_ptqi66GCucihVvJfMjLAmec39IyEx_6qawtMGysU/edit?usp=sharing"",""สบก!DM79"")"),149947.0)</f>
        <v>149947</v>
      </c>
      <c r="O333" s="203">
        <f>IF(L333&gt;0,N333*100/L333,0)</f>
        <v>27.67009282</v>
      </c>
      <c r="P333" s="203">
        <f>IF(M333&gt;0,N333*100/M333,0)</f>
        <v>55.33916445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IFERROR(__xludf.DUMMYFUNCTION("IMPORTRANGE(""https://docs.google.com/spreadsheets/d/1Yj_ptqi66GCucihVvJfMjLAmec39IyEx_6qawtMGysU/edit?usp=sharing"",""สบก!DH79"")"),493800.0)</f>
        <v>493800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IFERROR(__xludf.DUMMYFUNCTION("IMPORTRANGE(""https://docs.google.com/spreadsheets/d/1Yj_ptqi66GCucihVvJfMjLAmec39IyEx_6qawtMGysU/edit?usp=sharing"",""สบก!DI79"")"),48110.0)</f>
        <v>48110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IFERROR(__xludf.DUMMYFUNCTION("IMPORTRANGE(""https://docs.google.com/spreadsheets/d/1Yj_ptqi66GCucihVvJfMjLAmec39IyEx_6qawtMGysU/edit?usp=sharing"",""สบก!DJ79"")"),147000.0)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IFERROR(__xludf.DUMMYFUNCTION("IMPORTRANGE(""https://docs.google.com/spreadsheets/d/1Yj_ptqi66GCucihVvJfMjLAmec39IyEx_6qawtMGysU/edit?usp=sharing"",""สบก!DN79"")"),139000.0)</f>
        <v>139000</v>
      </c>
      <c r="O337" s="125">
        <f>IF(L337&gt;0,N337*100/L337,0)</f>
        <v>94.55782313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IFERROR(__xludf.DUMMYFUNCTION("IMPORTRANGE(""https://docs.google.com/spreadsheets/d/1SX6NBoVAgQJ6U1MVXOaj8PK2l7WJ3RER9xtqwdhxkhw/edit?usp=sharing"",""อ่างทอง!I234"")"),0.0)</f>
        <v>0</v>
      </c>
      <c r="J339" s="222">
        <f>IFERROR(__xludf.DUMMYFUNCTION("IMPORTRANGE(""https://docs.google.com/spreadsheets/d/1SX6NBoVAgQJ6U1MVXOaj8PK2l7WJ3RER9xtqwdhxkhw/edit?usp=sharing"",""อ่างทอง!J234"")"),0.0)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IFERROR(__xludf.DUMMYFUNCTION("IMPORTRANGE(""https://docs.google.com/spreadsheets/d/1SX6NBoVAgQJ6U1MVXOaj8PK2l7WJ3RER9xtqwdhxkhw/edit?usp=sharing"",""อ่างทอง!I235"")"),0.0)</f>
        <v>0</v>
      </c>
      <c r="J340" s="222">
        <f>IFERROR(__xludf.DUMMYFUNCTION("IMPORTRANGE(""https://docs.google.com/spreadsheets/d/1SX6NBoVAgQJ6U1MVXOaj8PK2l7WJ3RER9xtqwdhxkhw/edit?usp=sharing"",""อ่างทอง!J235"")"),0.0)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IFERROR(__xludf.DUMMYFUNCTION("IMPORTRANGE(""https://docs.google.com/spreadsheets/d/1SX6NBoVAgQJ6U1MVXOaj8PK2l7WJ3RER9xtqwdhxkhw/edit?usp=sharing"",""อ่างทอง!I236"")"),0.0)</f>
        <v>0</v>
      </c>
      <c r="J341" s="222">
        <f>IFERROR(__xludf.DUMMYFUNCTION("IMPORTRANGE(""https://docs.google.com/spreadsheets/d/1SX6NBoVAgQJ6U1MVXOaj8PK2l7WJ3RER9xtqwdhxkhw/edit?usp=sharing"",""อ่างทอง!J236"")"),0.0)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IFERROR(__xludf.DUMMYFUNCTION("IMPORTRANGE(""https://docs.google.com/spreadsheets/d/1SX6NBoVAgQJ6U1MVXOaj8PK2l7WJ3RER9xtqwdhxkhw/edit?usp=sharing"",""อ่างทอง!I237"")"),0.0)</f>
        <v>0</v>
      </c>
      <c r="J342" s="222">
        <f>IFERROR(__xludf.DUMMYFUNCTION("IMPORTRANGE(""https://docs.google.com/spreadsheets/d/1SX6NBoVAgQJ6U1MVXOaj8PK2l7WJ3RER9xtqwdhxkhw/edit?usp=sharing"",""อ่างทอง!J237"")"),0.0)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IFERROR(__xludf.DUMMYFUNCTION("IMPORTRANGE(""https://docs.google.com/spreadsheets/d/1SX6NBoVAgQJ6U1MVXOaj8PK2l7WJ3RER9xtqwdhxkhw/edit?usp=sharing"",""อ่างทอง!I238"")"),0.0)</f>
        <v>0</v>
      </c>
      <c r="J343" s="222">
        <f>IFERROR(__xludf.DUMMYFUNCTION("IMPORTRANGE(""https://docs.google.com/spreadsheets/d/1SX6NBoVAgQJ6U1MVXOaj8PK2l7WJ3RER9xtqwdhxkhw/edit?usp=sharing"",""อ่างทอง!J238"")"),0.0)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IFERROR(__xludf.DUMMYFUNCTION("IMPORTRANGE(""https://docs.google.com/spreadsheets/d/1SX6NBoVAgQJ6U1MVXOaj8PK2l7WJ3RER9xtqwdhxkhw/edit?usp=sharing"",""อ่างทอง!I239"")"),0.0)</f>
        <v>0</v>
      </c>
      <c r="J344" s="222">
        <f>IFERROR(__xludf.DUMMYFUNCTION("IMPORTRANGE(""https://docs.google.com/spreadsheets/d/1SX6NBoVAgQJ6U1MVXOaj8PK2l7WJ3RER9xtqwdhxkhw/edit?usp=sharing"",""อ่างทอง!J239"")"),0.0)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IFERROR(__xludf.DUMMYFUNCTION("IMPORTRANGE(""https://docs.google.com/spreadsheets/d/1SX6NBoVAgQJ6U1MVXOaj8PK2l7WJ3RER9xtqwdhxkhw/edit?usp=sharing"",""อ่างทอง!I240"")"),0.0)</f>
        <v>0</v>
      </c>
      <c r="J345" s="222">
        <f>IFERROR(__xludf.DUMMYFUNCTION("IMPORTRANGE(""https://docs.google.com/spreadsheets/d/1SX6NBoVAgQJ6U1MVXOaj8PK2l7WJ3RER9xtqwdhxkhw/edit?usp=sharing"",""อ่างทอง!J240"")"),0.0)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IFERROR(__xludf.DUMMYFUNCTION("IMPORTRANGE(""https://docs.google.com/spreadsheets/d/1SX6NBoVAgQJ6U1MVXOaj8PK2l7WJ3RER9xtqwdhxkhw/edit?usp=sharing"",""อ่างทอง!I241"")"),0.0)</f>
        <v>0</v>
      </c>
      <c r="J346" s="222">
        <f>IFERROR(__xludf.DUMMYFUNCTION("IMPORTRANGE(""https://docs.google.com/spreadsheets/d/1SX6NBoVAgQJ6U1MVXOaj8PK2l7WJ3RER9xtqwdhxkhw/edit?usp=sharing"",""อ่างทอง!J241"")"),0.0)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IFERROR(__xludf.DUMMYFUNCTION("IMPORTRANGE(""https://docs.google.com/spreadsheets/d/1SX6NBoVAgQJ6U1MVXOaj8PK2l7WJ3RER9xtqwdhxkhw/edit?usp=sharing"",""อ่างทอง!L242"")"),324940.0)</f>
        <v>324940</v>
      </c>
      <c r="M347" s="391"/>
      <c r="N347" s="391">
        <f>IFERROR(__xludf.DUMMYFUNCTION("IMPORTRANGE(""https://docs.google.com/spreadsheets/d/1SX6NBoVAgQJ6U1MVXOaj8PK2l7WJ3RER9xtqwdhxkhw/edit?usp=sharing"",""อ่างทอง!M242"")"),37426.0)</f>
        <v>37426</v>
      </c>
      <c r="O347" s="391">
        <f>+IF(L347&gt;0,N347*100/L347,0)</f>
        <v>11.51781867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IFERROR(__xludf.DUMMYFUNCTION("IMPORTRANGE(""https://docs.google.com/spreadsheets/d/1SX6NBoVAgQJ6U1MVXOaj8PK2l7WJ3RER9xtqwdhxkhw/edit?usp=sharing"",""อ่างทอง!I244"")"),30.0)</f>
        <v>30</v>
      </c>
      <c r="J349" s="404">
        <f>IFERROR(__xludf.DUMMYFUNCTION("IMPORTRANGE(""https://docs.google.com/spreadsheets/d/1SX6NBoVAgQJ6U1MVXOaj8PK2l7WJ3RER9xtqwdhxkhw/edit?usp=sharing"",""อ่างทอง!J244"")"),0.0)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IFERROR(__xludf.DUMMYFUNCTION("IMPORTRANGE(""https://docs.google.com/spreadsheets/d/1SX6NBoVAgQJ6U1MVXOaj8PK2l7WJ3RER9xtqwdhxkhw/edit?usp=sharing"",""อ่างทอง!L244"")"),69720.0)</f>
        <v>69720</v>
      </c>
      <c r="M349" s="406"/>
      <c r="N349" s="406">
        <f>IFERROR(__xludf.DUMMYFUNCTION("IMPORTRANGE(""https://docs.google.com/spreadsheets/d/1SX6NBoVAgQJ6U1MVXOaj8PK2l7WJ3RER9xtqwdhxkhw/edit?usp=sharing"",""อ่างทอง!M244"")"),0.0)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IFERROR(__xludf.DUMMYFUNCTION("IMPORTRANGE(""https://docs.google.com/spreadsheets/d/1SX6NBoVAgQJ6U1MVXOaj8PK2l7WJ3RER9xtqwdhxkhw/edit?usp=sharing"",""อ่างทอง!I245"")"),10.0)</f>
        <v>10</v>
      </c>
      <c r="J350" s="404">
        <f>IFERROR(__xludf.DUMMYFUNCTION("IMPORTRANGE(""https://docs.google.com/spreadsheets/d/1SX6NBoVAgQJ6U1MVXOaj8PK2l7WJ3RER9xtqwdhxkhw/edit?usp=sharing"",""อ่างทอง!J245"")"),0.0)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IFERROR(__xludf.DUMMYFUNCTION("IMPORTRANGE(""https://docs.google.com/spreadsheets/d/1SX6NBoVAgQJ6U1MVXOaj8PK2l7WJ3RER9xtqwdhxkhw/edit?usp=sharing"",""อ่างทอง!L246"")"),0.0)</f>
        <v>0</v>
      </c>
      <c r="M351" s="197"/>
      <c r="N351" s="197">
        <f>IFERROR(__xludf.DUMMYFUNCTION("IMPORTRANGE(""https://docs.google.com/spreadsheets/d/1SX6NBoVAgQJ6U1MVXOaj8PK2l7WJ3RER9xtqwdhxkhw/edit?usp=sharing"",""อ่างทอง!M246"")"),0.0)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IFERROR(__xludf.DUMMYFUNCTION("IMPORTRANGE(""https://docs.google.com/spreadsheets/d/1SX6NBoVAgQJ6U1MVXOaj8PK2l7WJ3RER9xtqwdhxkhw/edit?usp=sharing"",""อ่างทอง!L247"")"),69720.0)</f>
        <v>69720</v>
      </c>
      <c r="M352" s="198"/>
      <c r="N352" s="197">
        <f>IFERROR(__xludf.DUMMYFUNCTION("IMPORTRANGE(""https://docs.google.com/spreadsheets/d/1SX6NBoVAgQJ6U1MVXOaj8PK2l7WJ3RER9xtqwdhxkhw/edit?usp=sharing"",""อ่างทอง!M247"")"),0.0)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IFERROR(__xludf.DUMMYFUNCTION("IMPORTRANGE(""https://docs.google.com/spreadsheets/d/1SX6NBoVAgQJ6U1MVXOaj8PK2l7WJ3RER9xtqwdhxkhw/edit?usp=sharing"",""อ่างทอง!L248"")"),0.0)</f>
        <v>0</v>
      </c>
      <c r="M353" s="203"/>
      <c r="N353" s="203">
        <f>IFERROR(__xludf.DUMMYFUNCTION("IMPORTRANGE(""https://docs.google.com/spreadsheets/d/1SX6NBoVAgQJ6U1MVXOaj8PK2l7WJ3RER9xtqwdhxkhw/edit?usp=sharing"",""อ่างทอง!M248"")"),0.0)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IFERROR(__xludf.DUMMYFUNCTION("IMPORTRANGE(""https://docs.google.com/spreadsheets/d/1SX6NBoVAgQJ6U1MVXOaj8PK2l7WJ3RER9xtqwdhxkhw/edit?usp=sharing"",""อ่างทอง!L249"")"),69720.0)</f>
        <v>69720</v>
      </c>
      <c r="M354" s="203"/>
      <c r="N354" s="200">
        <f>IFERROR(__xludf.DUMMYFUNCTION("IMPORTRANGE(""https://docs.google.com/spreadsheets/d/1SX6NBoVAgQJ6U1MVXOaj8PK2l7WJ3RER9xtqwdhxkhw/edit?usp=sharing"",""อ่างทอง!M249"")"),0.0)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IFERROR(__xludf.DUMMYFUNCTION("IMPORTRANGE(""https://docs.google.com/spreadsheets/d/1SX6NBoVAgQJ6U1MVXOaj8PK2l7WJ3RER9xtqwdhxkhw/edit?usp=sharing"",""อ่างทอง!M250"")"),0.0)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IFERROR(__xludf.DUMMYFUNCTION("IMPORTRANGE(""https://docs.google.com/spreadsheets/d/1SX6NBoVAgQJ6U1MVXOaj8PK2l7WJ3RER9xtqwdhxkhw/edit?usp=sharing"",""อ่างทอง!M251"")"),0.0)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IFERROR(__xludf.DUMMYFUNCTION("IMPORTRANGE(""https://docs.google.com/spreadsheets/d/1SX6NBoVAgQJ6U1MVXOaj8PK2l7WJ3RER9xtqwdhxkhw/edit?usp=sharing"",""อ่างทอง!M252"")"),0.0)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IFERROR(__xludf.DUMMYFUNCTION("IMPORTRANGE(""https://docs.google.com/spreadsheets/d/1SX6NBoVAgQJ6U1MVXOaj8PK2l7WJ3RER9xtqwdhxkhw/edit?usp=sharing"",""อ่างทอง!M253"")"),0.0)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IFERROR(__xludf.DUMMYFUNCTION("IMPORTRANGE(""https://docs.google.com/spreadsheets/d/1SX6NBoVAgQJ6U1MVXOaj8PK2l7WJ3RER9xtqwdhxkhw/edit?usp=sharing"",""อ่างทอง!J255"")"),0.0)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IFERROR(__xludf.DUMMYFUNCTION("IMPORTRANGE(""https://docs.google.com/spreadsheets/d/1SX6NBoVAgQJ6U1MVXOaj8PK2l7WJ3RER9xtqwdhxkhw/edit?usp=sharing"",""อ่างทอง!J256"")"),1.0)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IFERROR(__xludf.DUMMYFUNCTION("IMPORTRANGE(""https://docs.google.com/spreadsheets/d/1SX6NBoVAgQJ6U1MVXOaj8PK2l7WJ3RER9xtqwdhxkhw/edit?usp=sharing"",""อ่างทอง!J257"")"),1.0)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IFERROR(__xludf.DUMMYFUNCTION("IMPORTRANGE(""https://docs.google.com/spreadsheets/d/1SX6NBoVAgQJ6U1MVXOaj8PK2l7WJ3RER9xtqwdhxkhw/edit?usp=sharing"",""อ่างทอง!J258"")"),1.0)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IFERROR(__xludf.DUMMYFUNCTION("IMPORTRANGE(""https://docs.google.com/spreadsheets/d/1SX6NBoVAgQJ6U1MVXOaj8PK2l7WJ3RER9xtqwdhxkhw/edit?usp=sharing"",""อ่างทอง!J166"")"),0.0)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IFERROR(__xludf.DUMMYFUNCTION("IMPORTRANGE(""https://docs.google.com/spreadsheets/d/1SX6NBoVAgQJ6U1MVXOaj8PK2l7WJ3RER9xtqwdhxkhw/edit?usp=sharing"",""อ่างทอง!J166"")"),0.0)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IFERROR(__xludf.DUMMYFUNCTION("IMPORTRANGE(""https://docs.google.com/spreadsheets/d/1SX6NBoVAgQJ6U1MVXOaj8PK2l7WJ3RER9xtqwdhxkhw/edit?usp=sharing"",""อ่างทอง!J166"")"),0.0)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IFERROR(__xludf.DUMMYFUNCTION("IMPORTRANGE(""https://docs.google.com/spreadsheets/d/1SX6NBoVAgQJ6U1MVXOaj8PK2l7WJ3RER9xtqwdhxkhw/edit?usp=sharing"",""อ่างทอง!J166"")"),0.0)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IFERROR(__xludf.DUMMYFUNCTION("IMPORTRANGE(""https://docs.google.com/spreadsheets/d/1SX6NBoVAgQJ6U1MVXOaj8PK2l7WJ3RER9xtqwdhxkhw/edit?usp=sharing"",""อ่างทอง!I263"")"),10.0)</f>
        <v>10</v>
      </c>
      <c r="J368" s="222">
        <f>IFERROR(__xludf.DUMMYFUNCTION("IMPORTRANGE(""https://docs.google.com/spreadsheets/d/1SX6NBoVAgQJ6U1MVXOaj8PK2l7WJ3RER9xtqwdhxkhw/edit?usp=sharing"",""อ่างทอง!J263"")"),0.0)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IFERROR(__xludf.DUMMYFUNCTION("IMPORTRANGE(""https://docs.google.com/spreadsheets/d/1SX6NBoVAgQJ6U1MVXOaj8PK2l7WJ3RER9xtqwdhxkhw/edit?usp=sharing"",""อ่างทอง!I164"")"),0.0)</f>
        <v>0</v>
      </c>
      <c r="J369" s="238">
        <f>IFERROR(__xludf.DUMMYFUNCTION("IMPORTRANGE(""https://docs.google.com/spreadsheets/d/1SX6NBoVAgQJ6U1MVXOaj8PK2l7WJ3RER9xtqwdhxkhw/edit?usp=sharing"",""อ่างทอง!J164"")"),0.0)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IFERROR(__xludf.DUMMYFUNCTION("IMPORTRANGE(""https://docs.google.com/spreadsheets/d/1SX6NBoVAgQJ6U1MVXOaj8PK2l7WJ3RER9xtqwdhxkhw/edit?usp=sharing"",""อ่างทอง!I265"")"),10.0)</f>
        <v>10</v>
      </c>
      <c r="J370" s="238">
        <f>IFERROR(__xludf.DUMMYFUNCTION("IMPORTRANGE(""https://docs.google.com/spreadsheets/d/1SX6NBoVAgQJ6U1MVXOaj8PK2l7WJ3RER9xtqwdhxkhw/edit?usp=sharing"",""อ่างทอง!J265"")"),0.0)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IFERROR(__xludf.DUMMYFUNCTION("IMPORTRANGE(""https://docs.google.com/spreadsheets/d/1SX6NBoVAgQJ6U1MVXOaj8PK2l7WJ3RER9xtqwdhxkhw/edit?usp=sharing"",""อ่างทอง!I164"")"),0.0)</f>
        <v>0</v>
      </c>
      <c r="J371" s="223">
        <f>IFERROR(__xludf.DUMMYFUNCTION("IMPORTRANGE(""https://docs.google.com/spreadsheets/d/1SX6NBoVAgQJ6U1MVXOaj8PK2l7WJ3RER9xtqwdhxkhw/edit?usp=sharing"",""อ่างทอง!J164"")"),0.0)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IFERROR(__xludf.DUMMYFUNCTION("IMPORTRANGE(""https://docs.google.com/spreadsheets/d/1SX6NBoVAgQJ6U1MVXOaj8PK2l7WJ3RER9xtqwdhxkhw/edit?usp=sharing"",""อ่างทอง!I267"")"),10.0)</f>
        <v>10</v>
      </c>
      <c r="J372" s="223">
        <f>IFERROR(__xludf.DUMMYFUNCTION("IMPORTRANGE(""https://docs.google.com/spreadsheets/d/1SX6NBoVAgQJ6U1MVXOaj8PK2l7WJ3RER9xtqwdhxkhw/edit?usp=sharing"",""อ่างทอง!J267"")"),0.0)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IFERROR(__xludf.DUMMYFUNCTION("IMPORTRANGE(""https://docs.google.com/spreadsheets/d/1SX6NBoVAgQJ6U1MVXOaj8PK2l7WJ3RER9xtqwdhxkhw/edit?usp=sharing"",""อ่างทอง!I164"")"),0.0)</f>
        <v>0</v>
      </c>
      <c r="J373" s="238">
        <f>IFERROR(__xludf.DUMMYFUNCTION("IMPORTRANGE(""https://docs.google.com/spreadsheets/d/1SX6NBoVAgQJ6U1MVXOaj8PK2l7WJ3RER9xtqwdhxkhw/edit?usp=sharing"",""อ่างทอง!J164"")"),0.0)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IFERROR(__xludf.DUMMYFUNCTION("IMPORTRANGE(""https://docs.google.com/spreadsheets/d/1SX6NBoVAgQJ6U1MVXOaj8PK2l7WJ3RER9xtqwdhxkhw/edit?usp=sharing"",""อ่างทอง!I164"")"),0.0)</f>
        <v>0</v>
      </c>
      <c r="J374" s="222">
        <f>IFERROR(__xludf.DUMMYFUNCTION("IMPORTRANGE(""https://docs.google.com/spreadsheets/d/1SX6NBoVAgQJ6U1MVXOaj8PK2l7WJ3RER9xtqwdhxkhw/edit?usp=sharing"",""อ่างทอง!J164"")"),0.0)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IFERROR(__xludf.DUMMYFUNCTION("IMPORTRANGE(""https://docs.google.com/spreadsheets/d/1SX6NBoVAgQJ6U1MVXOaj8PK2l7WJ3RER9xtqwdhxkhw/edit?usp=sharing"",""อ่างทอง!I270"")"),30.0)</f>
        <v>30</v>
      </c>
      <c r="J375" s="222">
        <f>IFERROR(__xludf.DUMMYFUNCTION("IMPORTRANGE(""https://docs.google.com/spreadsheets/d/1SX6NBoVAgQJ6U1MVXOaj8PK2l7WJ3RER9xtqwdhxkhw/edit?usp=sharing"",""อ่างทอง!J270"")"),0.0)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IFERROR(__xludf.DUMMYFUNCTION("IMPORTRANGE(""https://docs.google.com/spreadsheets/d/1SX6NBoVAgQJ6U1MVXOaj8PK2l7WJ3RER9xtqwdhxkhw/edit?usp=sharing"",""อ่างทอง!I271"")"),30.0)</f>
        <v>30</v>
      </c>
      <c r="J376" s="223">
        <f>IFERROR(__xludf.DUMMYFUNCTION("IMPORTRANGE(""https://docs.google.com/spreadsheets/d/1SX6NBoVAgQJ6U1MVXOaj8PK2l7WJ3RER9xtqwdhxkhw/edit?usp=sharing"",""อ่างทอง!J271"")"),0.0)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IFERROR(__xludf.DUMMYFUNCTION("IMPORTRANGE(""https://docs.google.com/spreadsheets/d/1SX6NBoVAgQJ6U1MVXOaj8PK2l7WJ3RER9xtqwdhxkhw/edit?usp=sharing"",""อ่างทอง!I272"")"),0.0)</f>
        <v>0</v>
      </c>
      <c r="J377" s="238">
        <f>IFERROR(__xludf.DUMMYFUNCTION("IMPORTRANGE(""https://docs.google.com/spreadsheets/d/1SX6NBoVAgQJ6U1MVXOaj8PK2l7WJ3RER9xtqwdhxkhw/edit?usp=sharing"",""อ่างทอง!J272"")"),0.0)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IFERROR(__xludf.DUMMYFUNCTION("IMPORTRANGE(""https://docs.google.com/spreadsheets/d/1SX6NBoVAgQJ6U1MVXOaj8PK2l7WJ3RER9xtqwdhxkhw/edit?usp=sharing"",""อ่างทอง!J273"")"),0.0)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IFERROR(__xludf.DUMMYFUNCTION("IMPORTRANGE(""https://docs.google.com/spreadsheets/d/1SX6NBoVAgQJ6U1MVXOaj8PK2l7WJ3RER9xtqwdhxkhw/edit?usp=sharing"",""อ่างทอง!J274"")"),0.0)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IFERROR(__xludf.DUMMYFUNCTION("IMPORTRANGE(""https://docs.google.com/spreadsheets/d/1SX6NBoVAgQJ6U1MVXOaj8PK2l7WJ3RER9xtqwdhxkhw/edit?usp=sharing"",""อ่างทอง!I275"")"),0.0)</f>
        <v>0</v>
      </c>
      <c r="J380" s="404">
        <f>IFERROR(__xludf.DUMMYFUNCTION("IMPORTRANGE(""https://docs.google.com/spreadsheets/d/1SX6NBoVAgQJ6U1MVXOaj8PK2l7WJ3RER9xtqwdhxkhw/edit?usp=sharing"",""อ่างทอง!J275"")"),0.0)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IFERROR(__xludf.DUMMYFUNCTION("IMPORTRANGE(""https://docs.google.com/spreadsheets/d/1SX6NBoVAgQJ6U1MVXOaj8PK2l7WJ3RER9xtqwdhxkhw/edit?usp=sharing"",""อ่างทอง!L275"")"),0.0)</f>
        <v>0</v>
      </c>
      <c r="M380" s="406"/>
      <c r="N380" s="406">
        <f>IFERROR(__xludf.DUMMYFUNCTION("IMPORTRANGE(""https://docs.google.com/spreadsheets/d/1SX6NBoVAgQJ6U1MVXOaj8PK2l7WJ3RER9xtqwdhxkhw/edit?usp=sharing"",""อ่างทอง!M275"")"),0.0)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IFERROR(__xludf.DUMMYFUNCTION("IMPORTRANGE(""https://docs.google.com/spreadsheets/d/1SX6NBoVAgQJ6U1MVXOaj8PK2l7WJ3RER9xtqwdhxkhw/edit?usp=sharing"",""อ่างทอง!I276"")"),0.0)</f>
        <v>0</v>
      </c>
      <c r="J381" s="404">
        <f>IFERROR(__xludf.DUMMYFUNCTION("IMPORTRANGE(""https://docs.google.com/spreadsheets/d/1SX6NBoVAgQJ6U1MVXOaj8PK2l7WJ3RER9xtqwdhxkhw/edit?usp=sharing"",""อ่างทอง!J276"")"),0.0)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IFERROR(__xludf.DUMMYFUNCTION("IMPORTRANGE(""https://docs.google.com/spreadsheets/d/1SX6NBoVAgQJ6U1MVXOaj8PK2l7WJ3RER9xtqwdhxkhw/edit?usp=sharing"",""อ่างทอง!L277"")"),0.0)</f>
        <v>0</v>
      </c>
      <c r="M382" s="197"/>
      <c r="N382" s="197">
        <f>IFERROR(__xludf.DUMMYFUNCTION("IMPORTRANGE(""https://docs.google.com/spreadsheets/d/1SX6NBoVAgQJ6U1MVXOaj8PK2l7WJ3RER9xtqwdhxkhw/edit?usp=sharing"",""อ่างทอง!M277"")"),0.0)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IFERROR(__xludf.DUMMYFUNCTION("IMPORTRANGE(""https://docs.google.com/spreadsheets/d/1SX6NBoVAgQJ6U1MVXOaj8PK2l7WJ3RER9xtqwdhxkhw/edit?usp=sharing"",""อ่างทอง!L278"")"),0.0)</f>
        <v>0</v>
      </c>
      <c r="M383" s="198"/>
      <c r="N383" s="198">
        <f>IFERROR(__xludf.DUMMYFUNCTION("IMPORTRANGE(""https://docs.google.com/spreadsheets/d/1SX6NBoVAgQJ6U1MVXOaj8PK2l7WJ3RER9xtqwdhxkhw/edit?usp=sharing"",""อ่างทอง!M278"")"),0.0)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IFERROR(__xludf.DUMMYFUNCTION("IMPORTRANGE(""https://docs.google.com/spreadsheets/d/1SX6NBoVAgQJ6U1MVXOaj8PK2l7WJ3RER9xtqwdhxkhw/edit?usp=sharing"",""อ่างทอง!L279"")"),0.0)</f>
        <v>0</v>
      </c>
      <c r="M384" s="203"/>
      <c r="N384" s="203">
        <f>IFERROR(__xludf.DUMMYFUNCTION("IMPORTRANGE(""https://docs.google.com/spreadsheets/d/1SX6NBoVAgQJ6U1MVXOaj8PK2l7WJ3RER9xtqwdhxkhw/edit?usp=sharing"",""อ่างทอง!M279"")"),0.0)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IFERROR(__xludf.DUMMYFUNCTION("IMPORTRANGE(""https://docs.google.com/spreadsheets/d/1SX6NBoVAgQJ6U1MVXOaj8PK2l7WJ3RER9xtqwdhxkhw/edit?usp=sharing"",""อ่างทอง!L280"")"),0.0)</f>
        <v>0</v>
      </c>
      <c r="M385" s="203"/>
      <c r="N385" s="200">
        <f>IFERROR(__xludf.DUMMYFUNCTION("IMPORTRANGE(""https://docs.google.com/spreadsheets/d/1SX6NBoVAgQJ6U1MVXOaj8PK2l7WJ3RER9xtqwdhxkhw/edit?usp=sharing"",""อ่างทอง!M280"")"),0.0)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IFERROR(__xludf.DUMMYFUNCTION("IMPORTRANGE(""https://docs.google.com/spreadsheets/d/1SX6NBoVAgQJ6U1MVXOaj8PK2l7WJ3RER9xtqwdhxkhw/edit?usp=sharing"",""อ่างทอง!M281"")"),0.0)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IFERROR(__xludf.DUMMYFUNCTION("IMPORTRANGE(""https://docs.google.com/spreadsheets/d/1SX6NBoVAgQJ6U1MVXOaj8PK2l7WJ3RER9xtqwdhxkhw/edit?usp=sharing"",""อ่างทอง!M282"")"),0.0)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IFERROR(__xludf.DUMMYFUNCTION("IMPORTRANGE(""https://docs.google.com/spreadsheets/d/1SX6NBoVAgQJ6U1MVXOaj8PK2l7WJ3RER9xtqwdhxkhw/edit?usp=sharing"",""อ่างทอง!M283"")"),0.0)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IFERROR(__xludf.DUMMYFUNCTION("IMPORTRANGE(""https://docs.google.com/spreadsheets/d/1SX6NBoVAgQJ6U1MVXOaj8PK2l7WJ3RER9xtqwdhxkhw/edit?usp=sharing"",""อ่างทอง!M284"")"),0.0)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IFERROR(__xludf.DUMMYFUNCTION("IMPORTRANGE(""https://docs.google.com/spreadsheets/d/1SX6NBoVAgQJ6U1MVXOaj8PK2l7WJ3RER9xtqwdhxkhw/edit?usp=sharing"",""อ่างทอง!J286"")"),0.0)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IFERROR(__xludf.DUMMYFUNCTION("IMPORTRANGE(""https://docs.google.com/spreadsheets/d/1SX6NBoVAgQJ6U1MVXOaj8PK2l7WJ3RER9xtqwdhxkhw/edit?usp=sharing"",""อ่างทอง!J287"")"),0.0)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IFERROR(__xludf.DUMMYFUNCTION("IMPORTRANGE(""https://docs.google.com/spreadsheets/d/1SX6NBoVAgQJ6U1MVXOaj8PK2l7WJ3RER9xtqwdhxkhw/edit?usp=sharing"",""อ่างทอง!J288"")"),0.0)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IFERROR(__xludf.DUMMYFUNCTION("IMPORTRANGE(""https://docs.google.com/spreadsheets/d/1SX6NBoVAgQJ6U1MVXOaj8PK2l7WJ3RER9xtqwdhxkhw/edit?usp=sharing"",""อ่างทอง!J289"")"),0.0)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IFERROR(__xludf.DUMMYFUNCTION("IMPORTRANGE(""https://docs.google.com/spreadsheets/d/1SX6NBoVAgQJ6U1MVXOaj8PK2l7WJ3RER9xtqwdhxkhw/edit?usp=sharing"",""อ่างทอง!I291"")"),0.0)</f>
        <v>0</v>
      </c>
      <c r="J396" s="232">
        <f>IFERROR(__xludf.DUMMYFUNCTION("IMPORTRANGE(""https://docs.google.com/spreadsheets/d/1SX6NBoVAgQJ6U1MVXOaj8PK2l7WJ3RER9xtqwdhxkhw/edit?usp=sharing"",""อ่างทอง!J291"")"),0.0)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IFERROR(__xludf.DUMMYFUNCTION("IMPORTRANGE(""https://docs.google.com/spreadsheets/d/1SX6NBoVAgQJ6U1MVXOaj8PK2l7WJ3RER9xtqwdhxkhw/edit?usp=sharing"",""อ่างทอง!I292"")"),0.0)</f>
        <v>0</v>
      </c>
      <c r="J397" s="232">
        <f>IFERROR(__xludf.DUMMYFUNCTION("IMPORTRANGE(""https://docs.google.com/spreadsheets/d/1SX6NBoVAgQJ6U1MVXOaj8PK2l7WJ3RER9xtqwdhxkhw/edit?usp=sharing"",""อ่างทอง!J292"")"),0.0)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IFERROR(__xludf.DUMMYFUNCTION("IMPORTRANGE(""https://docs.google.com/spreadsheets/d/1SX6NBoVAgQJ6U1MVXOaj8PK2l7WJ3RER9xtqwdhxkhw/edit?usp=sharing"",""อ่างทอง!I293"")"),0.0)</f>
        <v>0</v>
      </c>
      <c r="J398" s="232">
        <f>IFERROR(__xludf.DUMMYFUNCTION("IMPORTRANGE(""https://docs.google.com/spreadsheets/d/1SX6NBoVAgQJ6U1MVXOaj8PK2l7WJ3RER9xtqwdhxkhw/edit?usp=sharing"",""อ่างทอง!J293"")"),0.0)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IFERROR(__xludf.DUMMYFUNCTION("IMPORTRANGE(""https://docs.google.com/spreadsheets/d/1SX6NBoVAgQJ6U1MVXOaj8PK2l7WJ3RER9xtqwdhxkhw/edit?usp=sharing"",""อ่างทอง!J294"")"),0.0)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IFERROR(__xludf.DUMMYFUNCTION("IMPORTRANGE(""https://docs.google.com/spreadsheets/d/1SX6NBoVAgQJ6U1MVXOaj8PK2l7WJ3RER9xtqwdhxkhw/edit?usp=sharing"",""อ่างทอง!J295"")"),0.0)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IFERROR(__xludf.DUMMYFUNCTION("IMPORTRANGE(""https://docs.google.com/spreadsheets/d/1SX6NBoVAgQJ6U1MVXOaj8PK2l7WJ3RER9xtqwdhxkhw/edit?usp=sharing"",""อ่างทอง!I296"")"),30.0)</f>
        <v>30</v>
      </c>
      <c r="J401" s="404">
        <f>IFERROR(__xludf.DUMMYFUNCTION("IMPORTRANGE(""https://docs.google.com/spreadsheets/d/1SX6NBoVAgQJ6U1MVXOaj8PK2l7WJ3RER9xtqwdhxkhw/edit?usp=sharing"",""อ่างทอง!J296"")"),0.0)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IFERROR(__xludf.DUMMYFUNCTION("IMPORTRANGE(""https://docs.google.com/spreadsheets/d/1SX6NBoVAgQJ6U1MVXOaj8PK2l7WJ3RER9xtqwdhxkhw/edit?usp=sharing"",""อ่างทอง!L296"")"),31440.0)</f>
        <v>31440</v>
      </c>
      <c r="M401" s="406"/>
      <c r="N401" s="406">
        <f>IFERROR(__xludf.DUMMYFUNCTION("IMPORTRANGE(""https://docs.google.com/spreadsheets/d/1SX6NBoVAgQJ6U1MVXOaj8PK2l7WJ3RER9xtqwdhxkhw/edit?usp=sharing"",""อ่างทอง!M296"")"),0.0)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IFERROR(__xludf.DUMMYFUNCTION("IMPORTRANGE(""https://docs.google.com/spreadsheets/d/1SX6NBoVAgQJ6U1MVXOaj8PK2l7WJ3RER9xtqwdhxkhw/edit?usp=sharing"",""อ่างทอง!I297"")"),10.0)</f>
        <v>10</v>
      </c>
      <c r="J402" s="404">
        <f>IFERROR(__xludf.DUMMYFUNCTION("IMPORTRANGE(""https://docs.google.com/spreadsheets/d/1SX6NBoVAgQJ6U1MVXOaj8PK2l7WJ3RER9xtqwdhxkhw/edit?usp=sharing"",""อ่างทอง!J297"")"),0.0)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IFERROR(__xludf.DUMMYFUNCTION("IMPORTRANGE(""https://docs.google.com/spreadsheets/d/1SX6NBoVAgQJ6U1MVXOaj8PK2l7WJ3RER9xtqwdhxkhw/edit?usp=sharing"",""อ่างทอง!L298"")"),0.0)</f>
        <v>0</v>
      </c>
      <c r="M403" s="197"/>
      <c r="N403" s="203">
        <f>IFERROR(__xludf.DUMMYFUNCTION("IMPORTRANGE(""https://docs.google.com/spreadsheets/d/1SX6NBoVAgQJ6U1MVXOaj8PK2l7WJ3RER9xtqwdhxkhw/edit?usp=sharing"",""อ่างทอง!M298"")"),0.0)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IFERROR(__xludf.DUMMYFUNCTION("IMPORTRANGE(""https://docs.google.com/spreadsheets/d/1SX6NBoVAgQJ6U1MVXOaj8PK2l7WJ3RER9xtqwdhxkhw/edit?usp=sharing"",""อ่างทอง!L299"")"),31440.0)</f>
        <v>31440</v>
      </c>
      <c r="M404" s="198"/>
      <c r="N404" s="203">
        <f>IFERROR(__xludf.DUMMYFUNCTION("IMPORTRANGE(""https://docs.google.com/spreadsheets/d/1SX6NBoVAgQJ6U1MVXOaj8PK2l7WJ3RER9xtqwdhxkhw/edit?usp=sharing"",""อ่างทอง!M299"")"),0.0)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IFERROR(__xludf.DUMMYFUNCTION("IMPORTRANGE(""https://docs.google.com/spreadsheets/d/1SX6NBoVAgQJ6U1MVXOaj8PK2l7WJ3RER9xtqwdhxkhw/edit?usp=sharing"",""อ่างทอง!L300"")"),0.0)</f>
        <v>0</v>
      </c>
      <c r="M405" s="203"/>
      <c r="N405" s="203">
        <f>IFERROR(__xludf.DUMMYFUNCTION("IMPORTRANGE(""https://docs.google.com/spreadsheets/d/1SX6NBoVAgQJ6U1MVXOaj8PK2l7WJ3RER9xtqwdhxkhw/edit?usp=sharing"",""อ่างทอง!M300"")"),0.0)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IFERROR(__xludf.DUMMYFUNCTION("IMPORTRANGE(""https://docs.google.com/spreadsheets/d/1SX6NBoVAgQJ6U1MVXOaj8PK2l7WJ3RER9xtqwdhxkhw/edit?usp=sharing"",""อ่างทอง!L301"")"),31440.0)</f>
        <v>31440</v>
      </c>
      <c r="M406" s="203"/>
      <c r="N406" s="203">
        <f>IFERROR(__xludf.DUMMYFUNCTION("IMPORTRANGE(""https://docs.google.com/spreadsheets/d/1SX6NBoVAgQJ6U1MVXOaj8PK2l7WJ3RER9xtqwdhxkhw/edit?usp=sharing"",""อ่างทอง!M301"")"),0.0)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IFERROR(__xludf.DUMMYFUNCTION("IMPORTRANGE(""https://docs.google.com/spreadsheets/d/1SX6NBoVAgQJ6U1MVXOaj8PK2l7WJ3RER9xtqwdhxkhw/edit?usp=sharing"",""อ่างทอง!M302"")"),0.0)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IFERROR(__xludf.DUMMYFUNCTION("IMPORTRANGE(""https://docs.google.com/spreadsheets/d/1SX6NBoVAgQJ6U1MVXOaj8PK2l7WJ3RER9xtqwdhxkhw/edit?usp=sharing"",""อ่างทอง!M303"")"),0.0)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IFERROR(__xludf.DUMMYFUNCTION("IMPORTRANGE(""https://docs.google.com/spreadsheets/d/1SX6NBoVAgQJ6U1MVXOaj8PK2l7WJ3RER9xtqwdhxkhw/edit?usp=sharing"",""อ่างทอง!M304"")"),0.0)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IFERROR(__xludf.DUMMYFUNCTION("IMPORTRANGE(""https://docs.google.com/spreadsheets/d/1SX6NBoVAgQJ6U1MVXOaj8PK2l7WJ3RER9xtqwdhxkhw/edit?usp=sharing"",""อ่างทอง!M305"")"),0.0)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IFERROR(__xludf.DUMMYFUNCTION("IMPORTRANGE(""https://docs.google.com/spreadsheets/d/1SX6NBoVAgQJ6U1MVXOaj8PK2l7WJ3RER9xtqwdhxkhw/edit?usp=sharing"",""อ่างทอง!J307"")"),0.0)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IFERROR(__xludf.DUMMYFUNCTION("IMPORTRANGE(""https://docs.google.com/spreadsheets/d/1SX6NBoVAgQJ6U1MVXOaj8PK2l7WJ3RER9xtqwdhxkhw/edit?usp=sharing"",""อ่างทอง!J308"")"),1.0)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IFERROR(__xludf.DUMMYFUNCTION("IMPORTRANGE(""https://docs.google.com/spreadsheets/d/1SX6NBoVAgQJ6U1MVXOaj8PK2l7WJ3RER9xtqwdhxkhw/edit?usp=sharing"",""อ่างทอง!J309"")"),0.0)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IFERROR(__xludf.DUMMYFUNCTION("IMPORTRANGE(""https://docs.google.com/spreadsheets/d/1SX6NBoVAgQJ6U1MVXOaj8PK2l7WJ3RER9xtqwdhxkhw/edit?usp=sharing"",""อ่างทอง!J310"")"),0.0)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IFERROR(__xludf.DUMMYFUNCTION("IMPORTRANGE(""https://docs.google.com/spreadsheets/d/1SX6NBoVAgQJ6U1MVXOaj8PK2l7WJ3RER9xtqwdhxkhw/edit?usp=sharing"",""อ่างทอง!I311"")"),10.0)</f>
        <v>10</v>
      </c>
      <c r="J416" s="235">
        <f>IFERROR(__xludf.DUMMYFUNCTION("IMPORTRANGE(""https://docs.google.com/spreadsheets/d/1SX6NBoVAgQJ6U1MVXOaj8PK2l7WJ3RER9xtqwdhxkhw/edit?usp=sharing"",""อ่างทอง!J311"")"),0.0)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IFERROR(__xludf.DUMMYFUNCTION("IMPORTRANGE(""https://docs.google.com/spreadsheets/d/1SX6NBoVAgQJ6U1MVXOaj8PK2l7WJ3RER9xtqwdhxkhw/edit?usp=sharing"",""อ่างทอง!I312"")"),0.0)</f>
        <v>0</v>
      </c>
      <c r="J417" s="425">
        <f>IFERROR(__xludf.DUMMYFUNCTION("IMPORTRANGE(""https://docs.google.com/spreadsheets/d/1SX6NBoVAgQJ6U1MVXOaj8PK2l7WJ3RER9xtqwdhxkhw/edit?usp=sharing"",""อ่างทอง!J312"")"),0.0)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IFERROR(__xludf.DUMMYFUNCTION("IMPORTRANGE(""https://docs.google.com/spreadsheets/d/1SX6NBoVAgQJ6U1MVXOaj8PK2l7WJ3RER9xtqwdhxkhw/edit?usp=sharing"",""อ่างทอง!I313"")"),0.0)</f>
        <v>0</v>
      </c>
      <c r="J418" s="426">
        <f>IFERROR(__xludf.DUMMYFUNCTION("IMPORTRANGE(""https://docs.google.com/spreadsheets/d/1SX6NBoVAgQJ6U1MVXOaj8PK2l7WJ3RER9xtqwdhxkhw/edit?usp=sharing"",""อ่างทอง!J313"")"),0.0)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IFERROR(__xludf.DUMMYFUNCTION("IMPORTRANGE(""https://docs.google.com/spreadsheets/d/1SX6NBoVAgQJ6U1MVXOaj8PK2l7WJ3RER9xtqwdhxkhw/edit?usp=sharing"",""อ่างทอง!I314"")"),0.0)</f>
        <v>0</v>
      </c>
      <c r="J419" s="427">
        <f>IFERROR(__xludf.DUMMYFUNCTION("IMPORTRANGE(""https://docs.google.com/spreadsheets/d/1SX6NBoVAgQJ6U1MVXOaj8PK2l7WJ3RER9xtqwdhxkhw/edit?usp=sharing"",""อ่างทอง!J314"")"),0.0)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IFERROR(__xludf.DUMMYFUNCTION("IMPORTRANGE(""https://docs.google.com/spreadsheets/d/1SX6NBoVAgQJ6U1MVXOaj8PK2l7WJ3RER9xtqwdhxkhw/edit?usp=sharing"",""อ่างทอง!I315"")"),0.0)</f>
        <v>0</v>
      </c>
      <c r="J420" s="427">
        <f>IFERROR(__xludf.DUMMYFUNCTION("IMPORTRANGE(""https://docs.google.com/spreadsheets/d/1SX6NBoVAgQJ6U1MVXOaj8PK2l7WJ3RER9xtqwdhxkhw/edit?usp=sharing"",""อ่างทอง!J315"")"),0.0)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IFERROR(__xludf.DUMMYFUNCTION("IMPORTRANGE(""https://docs.google.com/spreadsheets/d/1SX6NBoVAgQJ6U1MVXOaj8PK2l7WJ3RER9xtqwdhxkhw/edit?usp=sharing"",""อ่างทอง!I316"")"),0.0)</f>
        <v>0</v>
      </c>
      <c r="J421" s="425">
        <f>IFERROR(__xludf.DUMMYFUNCTION("IMPORTRANGE(""https://docs.google.com/spreadsheets/d/1SX6NBoVAgQJ6U1MVXOaj8PK2l7WJ3RER9xtqwdhxkhw/edit?usp=sharing"",""อ่างทอง!J316"")"),0.0)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IFERROR(__xludf.DUMMYFUNCTION("IMPORTRANGE(""https://docs.google.com/spreadsheets/d/1SX6NBoVAgQJ6U1MVXOaj8PK2l7WJ3RER9xtqwdhxkhw/edit?usp=sharing"",""อ่างทอง!I317"")"),0.0)</f>
        <v>0</v>
      </c>
      <c r="J422" s="426">
        <f>IFERROR(__xludf.DUMMYFUNCTION("IMPORTRANGE(""https://docs.google.com/spreadsheets/d/1SX6NBoVAgQJ6U1MVXOaj8PK2l7WJ3RER9xtqwdhxkhw/edit?usp=sharing"",""อ่างทอง!J317"")"),0.0)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IFERROR(__xludf.DUMMYFUNCTION("IMPORTRANGE(""https://docs.google.com/spreadsheets/d/1SX6NBoVAgQJ6U1MVXOaj8PK2l7WJ3RER9xtqwdhxkhw/edit?usp=sharing"",""อ่างทอง!I318"")"),0.0)</f>
        <v>0</v>
      </c>
      <c r="J423" s="427">
        <f>IFERROR(__xludf.DUMMYFUNCTION("IMPORTRANGE(""https://docs.google.com/spreadsheets/d/1SX6NBoVAgQJ6U1MVXOaj8PK2l7WJ3RER9xtqwdhxkhw/edit?usp=sharing"",""อ่างทอง!J318"")"),0.0)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IFERROR(__xludf.DUMMYFUNCTION("IMPORTRANGE(""https://docs.google.com/spreadsheets/d/1SX6NBoVAgQJ6U1MVXOaj8PK2l7WJ3RER9xtqwdhxkhw/edit?usp=sharing"",""อ่างทอง!I319"")"),0.0)</f>
        <v>0</v>
      </c>
      <c r="J424" s="427">
        <f>IFERROR(__xludf.DUMMYFUNCTION("IMPORTRANGE(""https://docs.google.com/spreadsheets/d/1SX6NBoVAgQJ6U1MVXOaj8PK2l7WJ3RER9xtqwdhxkhw/edit?usp=sharing"",""อ่างทอง!J319"")"),0.0)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IFERROR(__xludf.DUMMYFUNCTION("IMPORTRANGE(""https://docs.google.com/spreadsheets/d/1SX6NBoVAgQJ6U1MVXOaj8PK2l7WJ3RER9xtqwdhxkhw/edit?usp=sharing"",""อ่างทอง!I320"")"),0.0)</f>
        <v>0</v>
      </c>
      <c r="J425" s="427">
        <f>IFERROR(__xludf.DUMMYFUNCTION("IMPORTRANGE(""https://docs.google.com/spreadsheets/d/1SX6NBoVAgQJ6U1MVXOaj8PK2l7WJ3RER9xtqwdhxkhw/edit?usp=sharing"",""อ่างทอง!J320"")"),0.0)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IFERROR(__xludf.DUMMYFUNCTION("IMPORTRANGE(""https://docs.google.com/spreadsheets/d/1SX6NBoVAgQJ6U1MVXOaj8PK2l7WJ3RER9xtqwdhxkhw/edit?usp=sharing"",""อ่างทอง!I321"")"),10.0)</f>
        <v>10</v>
      </c>
      <c r="J426" s="425">
        <f>IFERROR(__xludf.DUMMYFUNCTION("IMPORTRANGE(""https://docs.google.com/spreadsheets/d/1SX6NBoVAgQJ6U1MVXOaj8PK2l7WJ3RER9xtqwdhxkhw/edit?usp=sharing"",""อ่างทอง!J321"")"),0.0)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IFERROR(__xludf.DUMMYFUNCTION("IMPORTRANGE(""https://docs.google.com/spreadsheets/d/1SX6NBoVAgQJ6U1MVXOaj8PK2l7WJ3RER9xtqwdhxkhw/edit?usp=sharing"",""อ่างทอง!I322"")"),30.0)</f>
        <v>30</v>
      </c>
      <c r="J427" s="426">
        <f>IFERROR(__xludf.DUMMYFUNCTION("IMPORTRANGE(""https://docs.google.com/spreadsheets/d/1SX6NBoVAgQJ6U1MVXOaj8PK2l7WJ3RER9xtqwdhxkhw/edit?usp=sharing"",""อ่างทอง!J322"")"),0.0)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IFERROR(__xludf.DUMMYFUNCTION("IMPORTRANGE(""https://docs.google.com/spreadsheets/d/1SX6NBoVAgQJ6U1MVXOaj8PK2l7WJ3RER9xtqwdhxkhw/edit?usp=sharing"",""อ่างทอง!I323"")"),10.0)</f>
        <v>10</v>
      </c>
      <c r="J428" s="427">
        <f>IFERROR(__xludf.DUMMYFUNCTION("IMPORTRANGE(""https://docs.google.com/spreadsheets/d/1SX6NBoVAgQJ6U1MVXOaj8PK2l7WJ3RER9xtqwdhxkhw/edit?usp=sharing"",""อ่างทอง!J323"")"),0.0)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IFERROR(__xludf.DUMMYFUNCTION("IMPORTRANGE(""https://docs.google.com/spreadsheets/d/1SX6NBoVAgQJ6U1MVXOaj8PK2l7WJ3RER9xtqwdhxkhw/edit?usp=sharing"",""อ่างทอง!I324"")"),10.0)</f>
        <v>10</v>
      </c>
      <c r="J429" s="427">
        <f>IFERROR(__xludf.DUMMYFUNCTION("IMPORTRANGE(""https://docs.google.com/spreadsheets/d/1SX6NBoVAgQJ6U1MVXOaj8PK2l7WJ3RER9xtqwdhxkhw/edit?usp=sharing"",""อ่างทอง!J324"")"),0.0)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IFERROR(__xludf.DUMMYFUNCTION("IMPORTRANGE(""https://docs.google.com/spreadsheets/d/1SX6NBoVAgQJ6U1MVXOaj8PK2l7WJ3RER9xtqwdhxkhw/edit?usp=sharing"",""อ่างทอง!I325"")"),0.0)</f>
        <v>0</v>
      </c>
      <c r="J430" s="425">
        <f>IFERROR(__xludf.DUMMYFUNCTION("IMPORTRANGE(""https://docs.google.com/spreadsheets/d/1SX6NBoVAgQJ6U1MVXOaj8PK2l7WJ3RER9xtqwdhxkhw/edit?usp=sharing"",""อ่างทอง!J325"")"),0.0)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IFERROR(__xludf.DUMMYFUNCTION("IMPORTRANGE(""https://docs.google.com/spreadsheets/d/1SX6NBoVAgQJ6U1MVXOaj8PK2l7WJ3RER9xtqwdhxkhw/edit?usp=sharing"",""อ่างทอง!I326"")"),0.0)</f>
        <v>0</v>
      </c>
      <c r="J431" s="427">
        <f>IFERROR(__xludf.DUMMYFUNCTION("IMPORTRANGE(""https://docs.google.com/spreadsheets/d/1SX6NBoVAgQJ6U1MVXOaj8PK2l7WJ3RER9xtqwdhxkhw/edit?usp=sharing"",""อ่างทอง!J326"")"),0.0)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IFERROR(__xludf.DUMMYFUNCTION("IMPORTRANGE(""https://docs.google.com/spreadsheets/d/1SX6NBoVAgQJ6U1MVXOaj8PK2l7WJ3RER9xtqwdhxkhw/edit?usp=sharing"",""อ่างทอง!I327"")"),0.0)</f>
        <v>0</v>
      </c>
      <c r="J432" s="427">
        <f>IFERROR(__xludf.DUMMYFUNCTION("IMPORTRANGE(""https://docs.google.com/spreadsheets/d/1SX6NBoVAgQJ6U1MVXOaj8PK2l7WJ3RER9xtqwdhxkhw/edit?usp=sharing"",""อ่างทอง!J327"")"),0.0)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IFERROR(__xludf.DUMMYFUNCTION("IMPORTRANGE(""https://docs.google.com/spreadsheets/d/1SX6NBoVAgQJ6U1MVXOaj8PK2l7WJ3RER9xtqwdhxkhw/edit?usp=sharing"",""อ่างทอง!J328"")"),0.0)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IFERROR(__xludf.DUMMYFUNCTION("IMPORTRANGE(""https://docs.google.com/spreadsheets/d/1SX6NBoVAgQJ6U1MVXOaj8PK2l7WJ3RER9xtqwdhxkhw/edit?usp=sharing"",""อ่างทอง!J329"")"),0.0)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IFERROR(__xludf.DUMMYFUNCTION("IMPORTRANGE(""https://docs.google.com/spreadsheets/d/1SX6NBoVAgQJ6U1MVXOaj8PK2l7WJ3RER9xtqwdhxkhw/edit?usp=sharing"",""อ่างทอง!I330"")"),10.0)</f>
        <v>10</v>
      </c>
      <c r="J435" s="443">
        <f>IFERROR(__xludf.DUMMYFUNCTION("IMPORTRANGE(""https://docs.google.com/spreadsheets/d/1SX6NBoVAgQJ6U1MVXOaj8PK2l7WJ3RER9xtqwdhxkhw/edit?usp=sharing"",""อ่างทอง!J330"")"),0.0)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IFERROR(__xludf.DUMMYFUNCTION("IMPORTRANGE(""https://docs.google.com/spreadsheets/d/1SX6NBoVAgQJ6U1MVXOaj8PK2l7WJ3RER9xtqwdhxkhw/edit?usp=sharing"",""อ่างทอง!L330"")"),71000.0)</f>
        <v>71000</v>
      </c>
      <c r="M435" s="445"/>
      <c r="N435" s="445">
        <f>IFERROR(__xludf.DUMMYFUNCTION("IMPORTRANGE(""https://docs.google.com/spreadsheets/d/1SX6NBoVAgQJ6U1MVXOaj8PK2l7WJ3RER9xtqwdhxkhw/edit?usp=sharing"",""อ่างทอง!M330"")"),3440.0)</f>
        <v>3440</v>
      </c>
      <c r="O435" s="445">
        <f t="shared" ref="O435:O439" si="115">+IF(L435&gt;0,N435*100/L435,0)</f>
        <v>4.845070423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IFERROR(__xludf.DUMMYFUNCTION("IMPORTRANGE(""https://docs.google.com/spreadsheets/d/1SX6NBoVAgQJ6U1MVXOaj8PK2l7WJ3RER9xtqwdhxkhw/edit?usp=sharing"",""อ่างทอง!L331"")"),0.0)</f>
        <v>0</v>
      </c>
      <c r="M436" s="197"/>
      <c r="N436" s="203">
        <f>IFERROR(__xludf.DUMMYFUNCTION("IMPORTRANGE(""https://docs.google.com/spreadsheets/d/1SX6NBoVAgQJ6U1MVXOaj8PK2l7WJ3RER9xtqwdhxkhw/edit?usp=sharing"",""อ่างทอง!M331"")"),0.0)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IFERROR(__xludf.DUMMYFUNCTION("IMPORTRANGE(""https://docs.google.com/spreadsheets/d/1SX6NBoVAgQJ6U1MVXOaj8PK2l7WJ3RER9xtqwdhxkhw/edit?usp=sharing"",""อ่างทอง!L332"")"),71000.0)</f>
        <v>71000</v>
      </c>
      <c r="M437" s="198"/>
      <c r="N437" s="203">
        <f>IFERROR(__xludf.DUMMYFUNCTION("IMPORTRANGE(""https://docs.google.com/spreadsheets/d/1SX6NBoVAgQJ6U1MVXOaj8PK2l7WJ3RER9xtqwdhxkhw/edit?usp=sharing"",""อ่างทอง!M332"")"),3440.0)</f>
        <v>3440</v>
      </c>
      <c r="O437" s="203">
        <f t="shared" si="115"/>
        <v>4.845070423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IFERROR(__xludf.DUMMYFUNCTION("IMPORTRANGE(""https://docs.google.com/spreadsheets/d/1SX6NBoVAgQJ6U1MVXOaj8PK2l7WJ3RER9xtqwdhxkhw/edit?usp=sharing"",""อ่างทอง!L333"")"),0.0)</f>
        <v>0</v>
      </c>
      <c r="M438" s="203"/>
      <c r="N438" s="203">
        <f>IFERROR(__xludf.DUMMYFUNCTION("IMPORTRANGE(""https://docs.google.com/spreadsheets/d/1SX6NBoVAgQJ6U1MVXOaj8PK2l7WJ3RER9xtqwdhxkhw/edit?usp=sharing"",""อ่างทอง!M333"")"),0.0)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IFERROR(__xludf.DUMMYFUNCTION("IMPORTRANGE(""https://docs.google.com/spreadsheets/d/1SX6NBoVAgQJ6U1MVXOaj8PK2l7WJ3RER9xtqwdhxkhw/edit?usp=sharing"",""อ่างทอง!L334"")"),71000.0)</f>
        <v>71000</v>
      </c>
      <c r="M439" s="203"/>
      <c r="N439" s="203">
        <f>IFERROR(__xludf.DUMMYFUNCTION("IMPORTRANGE(""https://docs.google.com/spreadsheets/d/1SX6NBoVAgQJ6U1MVXOaj8PK2l7WJ3RER9xtqwdhxkhw/edit?usp=sharing"",""อ่างทอง!M334"")"),3440.0)</f>
        <v>3440</v>
      </c>
      <c r="O439" s="203">
        <f t="shared" si="115"/>
        <v>4.845070423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IFERROR(__xludf.DUMMYFUNCTION("IMPORTRANGE(""https://docs.google.com/spreadsheets/d/1SX6NBoVAgQJ6U1MVXOaj8PK2l7WJ3RER9xtqwdhxkhw/edit?usp=sharing"",""อ่างทอง!M335"")"),3440.0)</f>
        <v>3440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IFERROR(__xludf.DUMMYFUNCTION("IMPORTRANGE(""https://docs.google.com/spreadsheets/d/1SX6NBoVAgQJ6U1MVXOaj8PK2l7WJ3RER9xtqwdhxkhw/edit?usp=sharing"",""อ่างทอง!M336"")"),0.0)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IFERROR(__xludf.DUMMYFUNCTION("IMPORTRANGE(""https://docs.google.com/spreadsheets/d/1SX6NBoVAgQJ6U1MVXOaj8PK2l7WJ3RER9xtqwdhxkhw/edit?usp=sharing"",""อ่างทอง!M337"")"),0.0)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IFERROR(__xludf.DUMMYFUNCTION("IMPORTRANGE(""https://docs.google.com/spreadsheets/d/1SX6NBoVAgQJ6U1MVXOaj8PK2l7WJ3RER9xtqwdhxkhw/edit?usp=sharing"",""อ่างทอง!M338"")"),0.0)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IFERROR(__xludf.DUMMYFUNCTION("IMPORTRANGE(""https://docs.google.com/spreadsheets/d/1SX6NBoVAgQJ6U1MVXOaj8PK2l7WJ3RER9xtqwdhxkhw/edit?usp=sharing"",""อ่างทอง!J340"")"),0.0)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IFERROR(__xludf.DUMMYFUNCTION("IMPORTRANGE(""https://docs.google.com/spreadsheets/d/1SX6NBoVAgQJ6U1MVXOaj8PK2l7WJ3RER9xtqwdhxkhw/edit?usp=sharing"",""อ่างทอง!J341"")"),1.0)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IFERROR(__xludf.DUMMYFUNCTION("IMPORTRANGE(""https://docs.google.com/spreadsheets/d/1SX6NBoVAgQJ6U1MVXOaj8PK2l7WJ3RER9xtqwdhxkhw/edit?usp=sharing"",""อ่างทอง!J342"")"),1.0)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IFERROR(__xludf.DUMMYFUNCTION("IMPORTRANGE(""https://docs.google.com/spreadsheets/d/1SX6NBoVAgQJ6U1MVXOaj8PK2l7WJ3RER9xtqwdhxkhw/edit?usp=sharing"",""อ่างทอง!J343"")"),1.0)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IFERROR(__xludf.DUMMYFUNCTION("IMPORTRANGE(""https://docs.google.com/spreadsheets/d/1SX6NBoVAgQJ6U1MVXOaj8PK2l7WJ3RER9xtqwdhxkhw/edit?usp=sharing"",""อ่างทอง!I344"")"),10.0)</f>
        <v>10</v>
      </c>
      <c r="J449" s="235">
        <f>IFERROR(__xludf.DUMMYFUNCTION("IMPORTRANGE(""https://docs.google.com/spreadsheets/d/1SX6NBoVAgQJ6U1MVXOaj8PK2l7WJ3RER9xtqwdhxkhw/edit?usp=sharing"",""อ่างทอง!J344"")"),0.0)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IFERROR(__xludf.DUMMYFUNCTION("IMPORTRANGE(""https://docs.google.com/spreadsheets/d/1SX6NBoVAgQJ6U1MVXOaj8PK2l7WJ3RER9xtqwdhxkhw/edit?usp=sharing"",""อ่างทอง!I345"")"),10.0)</f>
        <v>10</v>
      </c>
      <c r="J450" s="223">
        <f>IFERROR(__xludf.DUMMYFUNCTION("IMPORTRANGE(""https://docs.google.com/spreadsheets/d/1SX6NBoVAgQJ6U1MVXOaj8PK2l7WJ3RER9xtqwdhxkhw/edit?usp=sharing"",""อ่างทอง!J345"")"),0.0)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IFERROR(__xludf.DUMMYFUNCTION("IMPORTRANGE(""https://docs.google.com/spreadsheets/d/1SX6NBoVAgQJ6U1MVXOaj8PK2l7WJ3RER9xtqwdhxkhw/edit?usp=sharing"",""อ่างทอง!I346"")"),0.0)</f>
        <v>0</v>
      </c>
      <c r="J451" s="222">
        <f>IFERROR(__xludf.DUMMYFUNCTION("IMPORTRANGE(""https://docs.google.com/spreadsheets/d/1SX6NBoVAgQJ6U1MVXOaj8PK2l7WJ3RER9xtqwdhxkhw/edit?usp=sharing"",""อ่างทอง!J346"")"),0.0)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IFERROR(__xludf.DUMMYFUNCTION("IMPORTRANGE(""https://docs.google.com/spreadsheets/d/1SX6NBoVAgQJ6U1MVXOaj8PK2l7WJ3RER9xtqwdhxkhw/edit?usp=sharing"",""อ่างทอง!I347"")"),0.0)</f>
        <v>0</v>
      </c>
      <c r="J452" s="222">
        <f>IFERROR(__xludf.DUMMYFUNCTION("IMPORTRANGE(""https://docs.google.com/spreadsheets/d/1SX6NBoVAgQJ6U1MVXOaj8PK2l7WJ3RER9xtqwdhxkhw/edit?usp=sharing"",""อ่างทอง!J347"")"),0.0)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IFERROR(__xludf.DUMMYFUNCTION("IMPORTRANGE(""https://docs.google.com/spreadsheets/d/1SX6NBoVAgQJ6U1MVXOaj8PK2l7WJ3RER9xtqwdhxkhw/edit?usp=sharing"",""อ่างทอง!J348"")"),0.0)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IFERROR(__xludf.DUMMYFUNCTION("IMPORTRANGE(""https://docs.google.com/spreadsheets/d/1SX6NBoVAgQJ6U1MVXOaj8PK2l7WJ3RER9xtqwdhxkhw/edit?usp=sharing"",""อ่างทอง!J349"")"),0.0)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IFERROR(__xludf.DUMMYFUNCTION("IMPORTRANGE(""https://docs.google.com/spreadsheets/d/1SX6NBoVAgQJ6U1MVXOaj8PK2l7WJ3RER9xtqwdhxkhw/edit?usp=sharing"",""อ่างทอง!I350"")"),0.0)</f>
        <v>0</v>
      </c>
      <c r="J455" s="404">
        <f>IFERROR(__xludf.DUMMYFUNCTION("IMPORTRANGE(""https://docs.google.com/spreadsheets/d/1SX6NBoVAgQJ6U1MVXOaj8PK2l7WJ3RER9xtqwdhxkhw/edit?usp=sharing"",""อ่างทอง!J350"")"),0.0)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IFERROR(__xludf.DUMMYFUNCTION("IMPORTRANGE(""https://docs.google.com/spreadsheets/d/1SX6NBoVAgQJ6U1MVXOaj8PK2l7WJ3RER9xtqwdhxkhw/edit?usp=sharing"",""อ่างทอง!L350"")"),0.0)</f>
        <v>0</v>
      </c>
      <c r="M455" s="406"/>
      <c r="N455" s="406">
        <f>IFERROR(__xludf.DUMMYFUNCTION("IMPORTRANGE(""https://docs.google.com/spreadsheets/d/1SX6NBoVAgQJ6U1MVXOaj8PK2l7WJ3RER9xtqwdhxkhw/edit?usp=sharing"",""อ่างทอง!M350"")"),0.0)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IFERROR(__xludf.DUMMYFUNCTION("IMPORTRANGE(""https://docs.google.com/spreadsheets/d/1SX6NBoVAgQJ6U1MVXOaj8PK2l7WJ3RER9xtqwdhxkhw/edit?usp=sharing"",""อ่างทอง!L351"")"),0.0)</f>
        <v>0</v>
      </c>
      <c r="M456" s="197"/>
      <c r="N456" s="203">
        <f>IFERROR(__xludf.DUMMYFUNCTION("IMPORTRANGE(""https://docs.google.com/spreadsheets/d/1SX6NBoVAgQJ6U1MVXOaj8PK2l7WJ3RER9xtqwdhxkhw/edit?usp=sharing"",""อ่างทอง!M351"")"),0.0)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IFERROR(__xludf.DUMMYFUNCTION("IMPORTRANGE(""https://docs.google.com/spreadsheets/d/1SX6NBoVAgQJ6U1MVXOaj8PK2l7WJ3RER9xtqwdhxkhw/edit?usp=sharing"",""อ่างทอง!L352"")"),0.0)</f>
        <v>0</v>
      </c>
      <c r="M457" s="198"/>
      <c r="N457" s="203">
        <f>IFERROR(__xludf.DUMMYFUNCTION("IMPORTRANGE(""https://docs.google.com/spreadsheets/d/1SX6NBoVAgQJ6U1MVXOaj8PK2l7WJ3RER9xtqwdhxkhw/edit?usp=sharing"",""อ่างทอง!M352"")"),0.0)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IFERROR(__xludf.DUMMYFUNCTION("IMPORTRANGE(""https://docs.google.com/spreadsheets/d/1SX6NBoVAgQJ6U1MVXOaj8PK2l7WJ3RER9xtqwdhxkhw/edit?usp=sharing"",""อ่างทอง!L353"")"),0.0)</f>
        <v>0</v>
      </c>
      <c r="M458" s="203"/>
      <c r="N458" s="203">
        <f>IFERROR(__xludf.DUMMYFUNCTION("IMPORTRANGE(""https://docs.google.com/spreadsheets/d/1SX6NBoVAgQJ6U1MVXOaj8PK2l7WJ3RER9xtqwdhxkhw/edit?usp=sharing"",""อ่างทอง!M353"")"),0.0)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IFERROR(__xludf.DUMMYFUNCTION("IMPORTRANGE(""https://docs.google.com/spreadsheets/d/1SX6NBoVAgQJ6U1MVXOaj8PK2l7WJ3RER9xtqwdhxkhw/edit?usp=sharing"",""อ่างทอง!L354"")"),0.0)</f>
        <v>0</v>
      </c>
      <c r="M459" s="203"/>
      <c r="N459" s="203">
        <f>IFERROR(__xludf.DUMMYFUNCTION("IMPORTRANGE(""https://docs.google.com/spreadsheets/d/1SX6NBoVAgQJ6U1MVXOaj8PK2l7WJ3RER9xtqwdhxkhw/edit?usp=sharing"",""อ่างทอง!M354"")"),0.0)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IFERROR(__xludf.DUMMYFUNCTION("IMPORTRANGE(""https://docs.google.com/spreadsheets/d/1SX6NBoVAgQJ6U1MVXOaj8PK2l7WJ3RER9xtqwdhxkhw/edit?usp=sharing"",""อ่างทอง!M355"")"),0.0)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IFERROR(__xludf.DUMMYFUNCTION("IMPORTRANGE(""https://docs.google.com/spreadsheets/d/1SX6NBoVAgQJ6U1MVXOaj8PK2l7WJ3RER9xtqwdhxkhw/edit?usp=sharing"",""อ่างทอง!M356"")"),0.0)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IFERROR(__xludf.DUMMYFUNCTION("IMPORTRANGE(""https://docs.google.com/spreadsheets/d/1SX6NBoVAgQJ6U1MVXOaj8PK2l7WJ3RER9xtqwdhxkhw/edit?usp=sharing"",""อ่างทอง!M357"")"),0.0)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IFERROR(__xludf.DUMMYFUNCTION("IMPORTRANGE(""https://docs.google.com/spreadsheets/d/1SX6NBoVAgQJ6U1MVXOaj8PK2l7WJ3RER9xtqwdhxkhw/edit?usp=sharing"",""อ่างทอง!M358"")"),0.0)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IFERROR(__xludf.DUMMYFUNCTION("IMPORTRANGE(""https://docs.google.com/spreadsheets/d/1SX6NBoVAgQJ6U1MVXOaj8PK2l7WJ3RER9xtqwdhxkhw/edit?usp=sharing"",""อ่างทอง!I359"")"),0.0)</f>
        <v>0</v>
      </c>
      <c r="J464" s="301">
        <f>IFERROR(__xludf.DUMMYFUNCTION("IMPORTRANGE(""https://docs.google.com/spreadsheets/d/1SX6NBoVAgQJ6U1MVXOaj8PK2l7WJ3RER9xtqwdhxkhw/edit?usp=sharing"",""อ่างทอง!J359"")"),0.0)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IFERROR(__xludf.DUMMYFUNCTION("IMPORTRANGE(""https://docs.google.com/spreadsheets/d/1SX6NBoVAgQJ6U1MVXOaj8PK2l7WJ3RER9xtqwdhxkhw/edit?usp=sharing"",""อ่างทอง!I360"")"),0.0)</f>
        <v>0</v>
      </c>
      <c r="J465" s="453">
        <f>IFERROR(__xludf.DUMMYFUNCTION("IMPORTRANGE(""https://docs.google.com/spreadsheets/d/1SX6NBoVAgQJ6U1MVXOaj8PK2l7WJ3RER9xtqwdhxkhw/edit?usp=sharing"",""อ่างทอง!J360"")"),0.0)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IFERROR(__xludf.DUMMYFUNCTION("IMPORTRANGE(""https://docs.google.com/spreadsheets/d/1SX6NBoVAgQJ6U1MVXOaj8PK2l7WJ3RER9xtqwdhxkhw/edit?usp=sharing"",""อ่างทอง!I361"")"),0.0)</f>
        <v>0</v>
      </c>
      <c r="J466" s="453">
        <f>IFERROR(__xludf.DUMMYFUNCTION("IMPORTRANGE(""https://docs.google.com/spreadsheets/d/1SX6NBoVAgQJ6U1MVXOaj8PK2l7WJ3RER9xtqwdhxkhw/edit?usp=sharing"",""อ่างทอง!J361"")"),0.0)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IFERROR(__xludf.DUMMYFUNCTION("IMPORTRANGE(""https://docs.google.com/spreadsheets/d/1SX6NBoVAgQJ6U1MVXOaj8PK2l7WJ3RER9xtqwdhxkhw/edit?usp=sharing"",""อ่างทอง!I362"")"),0.0)</f>
        <v>0</v>
      </c>
      <c r="J467" s="223">
        <f>IFERROR(__xludf.DUMMYFUNCTION("IMPORTRANGE(""https://docs.google.com/spreadsheets/d/1SX6NBoVAgQJ6U1MVXOaj8PK2l7WJ3RER9xtqwdhxkhw/edit?usp=sharing"",""อ่างทอง!J362"")"),0.0)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IFERROR(__xludf.DUMMYFUNCTION("IMPORTRANGE(""https://docs.google.com/spreadsheets/d/1SX6NBoVAgQJ6U1MVXOaj8PK2l7WJ3RER9xtqwdhxkhw/edit?usp=sharing"",""อ่างทอง!I363"")"),0.0)</f>
        <v>0</v>
      </c>
      <c r="J468" s="223">
        <f>IFERROR(__xludf.DUMMYFUNCTION("IMPORTRANGE(""https://docs.google.com/spreadsheets/d/1SX6NBoVAgQJ6U1MVXOaj8PK2l7WJ3RER9xtqwdhxkhw/edit?usp=sharing"",""อ่างทอง!J363"")"),0.0)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IFERROR(__xludf.DUMMYFUNCTION("IMPORTRANGE(""https://docs.google.com/spreadsheets/d/1SX6NBoVAgQJ6U1MVXOaj8PK2l7WJ3RER9xtqwdhxkhw/edit?usp=sharing"",""อ่างทอง!I364"")"),0.0)</f>
        <v>0</v>
      </c>
      <c r="J469" s="223">
        <f>IFERROR(__xludf.DUMMYFUNCTION("IMPORTRANGE(""https://docs.google.com/spreadsheets/d/1SX6NBoVAgQJ6U1MVXOaj8PK2l7WJ3RER9xtqwdhxkhw/edit?usp=sharing"",""อ่างทอง!J364"")"),0.0)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IFERROR(__xludf.DUMMYFUNCTION("IMPORTRANGE(""https://docs.google.com/spreadsheets/d/1SX6NBoVAgQJ6U1MVXOaj8PK2l7WJ3RER9xtqwdhxkhw/edit?usp=sharing"",""อ่างทอง!I365"")"),0.0)</f>
        <v>0</v>
      </c>
      <c r="J470" s="223">
        <f>IFERROR(__xludf.DUMMYFUNCTION("IMPORTRANGE(""https://docs.google.com/spreadsheets/d/1SX6NBoVAgQJ6U1MVXOaj8PK2l7WJ3RER9xtqwdhxkhw/edit?usp=sharing"",""อ่างทอง!J365"")"),0.0)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IFERROR(__xludf.DUMMYFUNCTION("IMPORTRANGE(""https://docs.google.com/spreadsheets/d/1SX6NBoVAgQJ6U1MVXOaj8PK2l7WJ3RER9xtqwdhxkhw/edit?usp=sharing"",""อ่างทอง!I366"")"),0.0)</f>
        <v>0</v>
      </c>
      <c r="J471" s="223">
        <f>IFERROR(__xludf.DUMMYFUNCTION("IMPORTRANGE(""https://docs.google.com/spreadsheets/d/1SX6NBoVAgQJ6U1MVXOaj8PK2l7WJ3RER9xtqwdhxkhw/edit?usp=sharing"",""อ่างทอง!J366"")"),0.0)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IFERROR(__xludf.DUMMYFUNCTION("IMPORTRANGE(""https://docs.google.com/spreadsheets/d/1SX6NBoVAgQJ6U1MVXOaj8PK2l7WJ3RER9xtqwdhxkhw/edit?usp=sharing"",""อ่างทอง!I367"")"),0.0)</f>
        <v>0</v>
      </c>
      <c r="J472" s="223">
        <f>IFERROR(__xludf.DUMMYFUNCTION("IMPORTRANGE(""https://docs.google.com/spreadsheets/d/1SX6NBoVAgQJ6U1MVXOaj8PK2l7WJ3RER9xtqwdhxkhw/edit?usp=sharing"",""อ่างทอง!J367"")"),0.0)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IFERROR(__xludf.DUMMYFUNCTION("IMPORTRANGE(""https://docs.google.com/spreadsheets/d/1SX6NBoVAgQJ6U1MVXOaj8PK2l7WJ3RER9xtqwdhxkhw/edit?usp=sharing"",""อ่างทอง!I368"")"),0.0)</f>
        <v>0</v>
      </c>
      <c r="J473" s="453">
        <f>IFERROR(__xludf.DUMMYFUNCTION("IMPORTRANGE(""https://docs.google.com/spreadsheets/d/1SX6NBoVAgQJ6U1MVXOaj8PK2l7WJ3RER9xtqwdhxkhw/edit?usp=sharing"",""อ่างทอง!J368"")"),0.0)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IFERROR(__xludf.DUMMYFUNCTION("IMPORTRANGE(""https://docs.google.com/spreadsheets/d/1SX6NBoVAgQJ6U1MVXOaj8PK2l7WJ3RER9xtqwdhxkhw/edit?usp=sharing"",""อ่างทอง!I369"")"),0.0)</f>
        <v>0</v>
      </c>
      <c r="J474" s="453">
        <f>IFERROR(__xludf.DUMMYFUNCTION("IMPORTRANGE(""https://docs.google.com/spreadsheets/d/1SX6NBoVAgQJ6U1MVXOaj8PK2l7WJ3RER9xtqwdhxkhw/edit?usp=sharing"",""อ่างทอง!J369"")"),0.0)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IFERROR(__xludf.DUMMYFUNCTION("IMPORTRANGE(""https://docs.google.com/spreadsheets/d/1SX6NBoVAgQJ6U1MVXOaj8PK2l7WJ3RER9xtqwdhxkhw/edit?usp=sharing"",""อ่างทอง!I370"")"),0.0)</f>
        <v>0</v>
      </c>
      <c r="J475" s="223">
        <f>IFERROR(__xludf.DUMMYFUNCTION("IMPORTRANGE(""https://docs.google.com/spreadsheets/d/1SX6NBoVAgQJ6U1MVXOaj8PK2l7WJ3RER9xtqwdhxkhw/edit?usp=sharing"",""อ่างทอง!J370"")"),0.0)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IFERROR(__xludf.DUMMYFUNCTION("IMPORTRANGE(""https://docs.google.com/spreadsheets/d/1SX6NBoVAgQJ6U1MVXOaj8PK2l7WJ3RER9xtqwdhxkhw/edit?usp=sharing"",""อ่างทอง!I371"")"),0.0)</f>
        <v>0</v>
      </c>
      <c r="J476" s="223">
        <f>IFERROR(__xludf.DUMMYFUNCTION("IMPORTRANGE(""https://docs.google.com/spreadsheets/d/1SX6NBoVAgQJ6U1MVXOaj8PK2l7WJ3RER9xtqwdhxkhw/edit?usp=sharing"",""อ่างทอง!J371"")"),0.0)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IFERROR(__xludf.DUMMYFUNCTION("IMPORTRANGE(""https://docs.google.com/spreadsheets/d/1SX6NBoVAgQJ6U1MVXOaj8PK2l7WJ3RER9xtqwdhxkhw/edit?usp=sharing"",""อ่างทอง!I372"")"),0.0)</f>
        <v>0</v>
      </c>
      <c r="J477" s="223">
        <f>IFERROR(__xludf.DUMMYFUNCTION("IMPORTRANGE(""https://docs.google.com/spreadsheets/d/1SX6NBoVAgQJ6U1MVXOaj8PK2l7WJ3RER9xtqwdhxkhw/edit?usp=sharing"",""อ่างทอง!J372"")"),0.0)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IFERROR(__xludf.DUMMYFUNCTION("IMPORTRANGE(""https://docs.google.com/spreadsheets/d/1SX6NBoVAgQJ6U1MVXOaj8PK2l7WJ3RER9xtqwdhxkhw/edit?usp=sharing"",""อ่างทอง!I373"")"),0.0)</f>
        <v>0</v>
      </c>
      <c r="J478" s="223">
        <f>IFERROR(__xludf.DUMMYFUNCTION("IMPORTRANGE(""https://docs.google.com/spreadsheets/d/1SX6NBoVAgQJ6U1MVXOaj8PK2l7WJ3RER9xtqwdhxkhw/edit?usp=sharing"",""อ่างทอง!J373"")"),0.0)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IFERROR(__xludf.DUMMYFUNCTION("IMPORTRANGE(""https://docs.google.com/spreadsheets/d/1SX6NBoVAgQJ6U1MVXOaj8PK2l7WJ3RER9xtqwdhxkhw/edit?usp=sharing"",""อ่างทอง!I374"")"),0.0)</f>
        <v>0</v>
      </c>
      <c r="J479" s="223">
        <f>IFERROR(__xludf.DUMMYFUNCTION("IMPORTRANGE(""https://docs.google.com/spreadsheets/d/1SX6NBoVAgQJ6U1MVXOaj8PK2l7WJ3RER9xtqwdhxkhw/edit?usp=sharing"",""อ่างทอง!J374"")"),0.0)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IFERROR(__xludf.DUMMYFUNCTION("IMPORTRANGE(""https://docs.google.com/spreadsheets/d/1SX6NBoVAgQJ6U1MVXOaj8PK2l7WJ3RER9xtqwdhxkhw/edit?usp=sharing"",""อ่างทอง!I375"")"),0.0)</f>
        <v>0</v>
      </c>
      <c r="J480" s="223">
        <f>IFERROR(__xludf.DUMMYFUNCTION("IMPORTRANGE(""https://docs.google.com/spreadsheets/d/1SX6NBoVAgQJ6U1MVXOaj8PK2l7WJ3RER9xtqwdhxkhw/edit?usp=sharing"",""อ่างทอง!J375"")"),0.0)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IFERROR(__xludf.DUMMYFUNCTION("IMPORTRANGE(""https://docs.google.com/spreadsheets/d/1SX6NBoVAgQJ6U1MVXOaj8PK2l7WJ3RER9xtqwdhxkhw/edit?usp=sharing"",""อ่างทอง!I376"")"),0.0)</f>
        <v>0</v>
      </c>
      <c r="J481" s="453">
        <f>IFERROR(__xludf.DUMMYFUNCTION("IMPORTRANGE(""https://docs.google.com/spreadsheets/d/1SX6NBoVAgQJ6U1MVXOaj8PK2l7WJ3RER9xtqwdhxkhw/edit?usp=sharing"",""อ่างทอง!J376"")"),0.0)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IFERROR(__xludf.DUMMYFUNCTION("IMPORTRANGE(""https://docs.google.com/spreadsheets/d/1SX6NBoVAgQJ6U1MVXOaj8PK2l7WJ3RER9xtqwdhxkhw/edit?usp=sharing"",""อ่างทอง!I377"")"),0.0)</f>
        <v>0</v>
      </c>
      <c r="J482" s="453">
        <f>IFERROR(__xludf.DUMMYFUNCTION("IMPORTRANGE(""https://docs.google.com/spreadsheets/d/1SX6NBoVAgQJ6U1MVXOaj8PK2l7WJ3RER9xtqwdhxkhw/edit?usp=sharing"",""อ่างทอง!J377"")"),0.0)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IFERROR(__xludf.DUMMYFUNCTION("IMPORTRANGE(""https://docs.google.com/spreadsheets/d/1SX6NBoVAgQJ6U1MVXOaj8PK2l7WJ3RER9xtqwdhxkhw/edit?usp=sharing"",""อ่างทอง!I378"")"),0.0)</f>
        <v>0</v>
      </c>
      <c r="J483" s="223">
        <f>IFERROR(__xludf.DUMMYFUNCTION("IMPORTRANGE(""https://docs.google.com/spreadsheets/d/1SX6NBoVAgQJ6U1MVXOaj8PK2l7WJ3RER9xtqwdhxkhw/edit?usp=sharing"",""อ่างทอง!J378"")"),0.0)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IFERROR(__xludf.DUMMYFUNCTION("IMPORTRANGE(""https://docs.google.com/spreadsheets/d/1SX6NBoVAgQJ6U1MVXOaj8PK2l7WJ3RER9xtqwdhxkhw/edit?usp=sharing"",""อ่างทอง!I379"")"),0.0)</f>
        <v>0</v>
      </c>
      <c r="J484" s="223">
        <f>IFERROR(__xludf.DUMMYFUNCTION("IMPORTRANGE(""https://docs.google.com/spreadsheets/d/1SX6NBoVAgQJ6U1MVXOaj8PK2l7WJ3RER9xtqwdhxkhw/edit?usp=sharing"",""อ่างทอง!J379"")"),0.0)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IFERROR(__xludf.DUMMYFUNCTION("IMPORTRANGE(""https://docs.google.com/spreadsheets/d/1SX6NBoVAgQJ6U1MVXOaj8PK2l7WJ3RER9xtqwdhxkhw/edit?usp=sharing"",""อ่างทอง!I380"")"),0.0)</f>
        <v>0</v>
      </c>
      <c r="J485" s="223">
        <f>IFERROR(__xludf.DUMMYFUNCTION("IMPORTRANGE(""https://docs.google.com/spreadsheets/d/1SX6NBoVAgQJ6U1MVXOaj8PK2l7WJ3RER9xtqwdhxkhw/edit?usp=sharing"",""อ่างทอง!J380"")"),0.0)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IFERROR(__xludf.DUMMYFUNCTION("IMPORTRANGE(""https://docs.google.com/spreadsheets/d/1SX6NBoVAgQJ6U1MVXOaj8PK2l7WJ3RER9xtqwdhxkhw/edit?usp=sharing"",""อ่างทอง!I381"")"),0.0)</f>
        <v>0</v>
      </c>
      <c r="J486" s="223">
        <f>IFERROR(__xludf.DUMMYFUNCTION("IMPORTRANGE(""https://docs.google.com/spreadsheets/d/1SX6NBoVAgQJ6U1MVXOaj8PK2l7WJ3RER9xtqwdhxkhw/edit?usp=sharing"",""อ่างทอง!J381"")"),0.0)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IFERROR(__xludf.DUMMYFUNCTION("IMPORTRANGE(""https://docs.google.com/spreadsheets/d/1SX6NBoVAgQJ6U1MVXOaj8PK2l7WJ3RER9xtqwdhxkhw/edit?usp=sharing"",""อ่างทอง!I382"")"),0.0)</f>
        <v>0</v>
      </c>
      <c r="J487" s="453">
        <f>IFERROR(__xludf.DUMMYFUNCTION("IMPORTRANGE(""https://docs.google.com/spreadsheets/d/1SX6NBoVAgQJ6U1MVXOaj8PK2l7WJ3RER9xtqwdhxkhw/edit?usp=sharing"",""อ่างทอง!J382"")"),0.0)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IFERROR(__xludf.DUMMYFUNCTION("IMPORTRANGE(""https://docs.google.com/spreadsheets/d/1SX6NBoVAgQJ6U1MVXOaj8PK2l7WJ3RER9xtqwdhxkhw/edit?usp=sharing"",""อ่างทอง!I383"")"),0.0)</f>
        <v>0</v>
      </c>
      <c r="J488" s="453">
        <f>IFERROR(__xludf.DUMMYFUNCTION("IMPORTRANGE(""https://docs.google.com/spreadsheets/d/1SX6NBoVAgQJ6U1MVXOaj8PK2l7WJ3RER9xtqwdhxkhw/edit?usp=sharing"",""อ่างทอง!J383"")"),0.0)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IFERROR(__xludf.DUMMYFUNCTION("IMPORTRANGE(""https://docs.google.com/spreadsheets/d/1SX6NBoVAgQJ6U1MVXOaj8PK2l7WJ3RER9xtqwdhxkhw/edit?usp=sharing"",""อ่างทอง!I384"")"),0.0)</f>
        <v>0</v>
      </c>
      <c r="J489" s="223">
        <f>IFERROR(__xludf.DUMMYFUNCTION("IMPORTRANGE(""https://docs.google.com/spreadsheets/d/1SX6NBoVAgQJ6U1MVXOaj8PK2l7WJ3RER9xtqwdhxkhw/edit?usp=sharing"",""อ่างทอง!J384"")"),0.0)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IFERROR(__xludf.DUMMYFUNCTION("IMPORTRANGE(""https://docs.google.com/spreadsheets/d/1SX6NBoVAgQJ6U1MVXOaj8PK2l7WJ3RER9xtqwdhxkhw/edit?usp=sharing"",""อ่างทอง!I385"")"),0.0)</f>
        <v>0</v>
      </c>
      <c r="J490" s="223">
        <f>IFERROR(__xludf.DUMMYFUNCTION("IMPORTRANGE(""https://docs.google.com/spreadsheets/d/1SX6NBoVAgQJ6U1MVXOaj8PK2l7WJ3RER9xtqwdhxkhw/edit?usp=sharing"",""อ่างทอง!J385"")"),0.0)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IFERROR(__xludf.DUMMYFUNCTION("IMPORTRANGE(""https://docs.google.com/spreadsheets/d/1SX6NBoVAgQJ6U1MVXOaj8PK2l7WJ3RER9xtqwdhxkhw/edit?usp=sharing"",""อ่างทอง!I386"")"),0.0)</f>
        <v>0</v>
      </c>
      <c r="J491" s="223">
        <f>IFERROR(__xludf.DUMMYFUNCTION("IMPORTRANGE(""https://docs.google.com/spreadsheets/d/1SX6NBoVAgQJ6U1MVXOaj8PK2l7WJ3RER9xtqwdhxkhw/edit?usp=sharing"",""อ่างทอง!J386"")"),0.0)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IFERROR(__xludf.DUMMYFUNCTION("IMPORTRANGE(""https://docs.google.com/spreadsheets/d/1SX6NBoVAgQJ6U1MVXOaj8PK2l7WJ3RER9xtqwdhxkhw/edit?usp=sharing"",""อ่างทอง!I387"")"),0.0)</f>
        <v>0</v>
      </c>
      <c r="J492" s="223">
        <f>IFERROR(__xludf.DUMMYFUNCTION("IMPORTRANGE(""https://docs.google.com/spreadsheets/d/1SX6NBoVAgQJ6U1MVXOaj8PK2l7WJ3RER9xtqwdhxkhw/edit?usp=sharing"",""อ่างทอง!J387"")"),0.0)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IFERROR(__xludf.DUMMYFUNCTION("IMPORTRANGE(""https://docs.google.com/spreadsheets/d/1SX6NBoVAgQJ6U1MVXOaj8PK2l7WJ3RER9xtqwdhxkhw/edit?usp=sharing"",""อ่างทอง!I388"")"),0.0)</f>
        <v>0</v>
      </c>
      <c r="J493" s="223">
        <f>IFERROR(__xludf.DUMMYFUNCTION("IMPORTRANGE(""https://docs.google.com/spreadsheets/d/1SX6NBoVAgQJ6U1MVXOaj8PK2l7WJ3RER9xtqwdhxkhw/edit?usp=sharing"",""อ่างทอง!J388"")"),0.0)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IFERROR(__xludf.DUMMYFUNCTION("IMPORTRANGE(""https://docs.google.com/spreadsheets/d/1SX6NBoVAgQJ6U1MVXOaj8PK2l7WJ3RER9xtqwdhxkhw/edit?usp=sharing"",""อ่างทอง!I389"")"),0.0)</f>
        <v>0</v>
      </c>
      <c r="J494" s="469">
        <f>IFERROR(__xludf.DUMMYFUNCTION("IMPORTRANGE(""https://docs.google.com/spreadsheets/d/1SX6NBoVAgQJ6U1MVXOaj8PK2l7WJ3RER9xtqwdhxkhw/edit?usp=sharing"",""อ่างทอง!J389"")"),0.0)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IFERROR(__xludf.DUMMYFUNCTION("IMPORTRANGE(""https://docs.google.com/spreadsheets/d/1SX6NBoVAgQJ6U1MVXOaj8PK2l7WJ3RER9xtqwdhxkhw/edit?usp=sharing"",""อ่างทอง!I390"")"),0.0)</f>
        <v>0</v>
      </c>
      <c r="J495" s="469">
        <f>IFERROR(__xludf.DUMMYFUNCTION("IMPORTRANGE(""https://docs.google.com/spreadsheets/d/1SX6NBoVAgQJ6U1MVXOaj8PK2l7WJ3RER9xtqwdhxkhw/edit?usp=sharing"",""อ่างทอง!J390"")"),0.0)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IFERROR(__xludf.DUMMYFUNCTION("IMPORTRANGE(""https://docs.google.com/spreadsheets/d/1SX6NBoVAgQJ6U1MVXOaj8PK2l7WJ3RER9xtqwdhxkhw/edit?usp=sharing"",""อ่างทอง!I391"")"),0.0)</f>
        <v>0</v>
      </c>
      <c r="J496" s="469">
        <f>IFERROR(__xludf.DUMMYFUNCTION("IMPORTRANGE(""https://docs.google.com/spreadsheets/d/1SX6NBoVAgQJ6U1MVXOaj8PK2l7WJ3RER9xtqwdhxkhw/edit?usp=sharing"",""อ่างทอง!J391"")"),0.0)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IFERROR(__xludf.DUMMYFUNCTION("IMPORTRANGE(""https://docs.google.com/spreadsheets/d/1SX6NBoVAgQJ6U1MVXOaj8PK2l7WJ3RER9xtqwdhxkhw/edit?usp=sharing"",""อ่างทอง!I392"")"),0.0)</f>
        <v>0</v>
      </c>
      <c r="J497" s="476">
        <f>IFERROR(__xludf.DUMMYFUNCTION("IMPORTRANGE(""https://docs.google.com/spreadsheets/d/1SX6NBoVAgQJ6U1MVXOaj8PK2l7WJ3RER9xtqwdhxkhw/edit?usp=sharing"",""อ่างทอง!J392"")"),0.0)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IFERROR(__xludf.DUMMYFUNCTION("IMPORTRANGE(""https://docs.google.com/spreadsheets/d/1SX6NBoVAgQJ6U1MVXOaj8PK2l7WJ3RER9xtqwdhxkhw/edit?usp=sharing"",""อ่างทอง!I393"")"),0.0)</f>
        <v>0</v>
      </c>
      <c r="J498" s="453">
        <f>IFERROR(__xludf.DUMMYFUNCTION("IMPORTRANGE(""https://docs.google.com/spreadsheets/d/1SX6NBoVAgQJ6U1MVXOaj8PK2l7WJ3RER9xtqwdhxkhw/edit?usp=sharing"",""อ่างทอง!J393"")"),0.0)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IFERROR(__xludf.DUMMYFUNCTION("IMPORTRANGE(""https://docs.google.com/spreadsheets/d/1SX6NBoVAgQJ6U1MVXOaj8PK2l7WJ3RER9xtqwdhxkhw/edit?usp=sharing"",""อ่างทอง!I394"")"),0.0)</f>
        <v>0</v>
      </c>
      <c r="J499" s="453">
        <f>IFERROR(__xludf.DUMMYFUNCTION("IMPORTRANGE(""https://docs.google.com/spreadsheets/d/1SX6NBoVAgQJ6U1MVXOaj8PK2l7WJ3RER9xtqwdhxkhw/edit?usp=sharing"",""อ่างทอง!J394"")"),0.0)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IFERROR(__xludf.DUMMYFUNCTION("IMPORTRANGE(""https://docs.google.com/spreadsheets/d/1SX6NBoVAgQJ6U1MVXOaj8PK2l7WJ3RER9xtqwdhxkhw/edit?usp=sharing"",""อ่างทอง!I395"")"),0.0)</f>
        <v>0</v>
      </c>
      <c r="J500" s="195">
        <f>IFERROR(__xludf.DUMMYFUNCTION("IMPORTRANGE(""https://docs.google.com/spreadsheets/d/1SX6NBoVAgQJ6U1MVXOaj8PK2l7WJ3RER9xtqwdhxkhw/edit?usp=sharing"",""อ่างทอง!J395"")"),0.0)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IFERROR(__xludf.DUMMYFUNCTION("IMPORTRANGE(""https://docs.google.com/spreadsheets/d/1SX6NBoVAgQJ6U1MVXOaj8PK2l7WJ3RER9xtqwdhxkhw/edit?usp=sharing"",""อ่างทอง!I396"")"),0.0)</f>
        <v>0</v>
      </c>
      <c r="J501" s="195">
        <f>IFERROR(__xludf.DUMMYFUNCTION("IMPORTRANGE(""https://docs.google.com/spreadsheets/d/1SX6NBoVAgQJ6U1MVXOaj8PK2l7WJ3RER9xtqwdhxkhw/edit?usp=sharing"",""อ่างทอง!J396"")"),0.0)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IFERROR(__xludf.DUMMYFUNCTION("IMPORTRANGE(""https://docs.google.com/spreadsheets/d/1SX6NBoVAgQJ6U1MVXOaj8PK2l7WJ3RER9xtqwdhxkhw/edit?usp=sharing"",""อ่างทอง!I397"")"),0.0)</f>
        <v>0</v>
      </c>
      <c r="J502" s="223">
        <f>IFERROR(__xludf.DUMMYFUNCTION("IMPORTRANGE(""https://docs.google.com/spreadsheets/d/1SX6NBoVAgQJ6U1MVXOaj8PK2l7WJ3RER9xtqwdhxkhw/edit?usp=sharing"",""อ่างทอง!J397"")"),0.0)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IFERROR(__xludf.DUMMYFUNCTION("IMPORTRANGE(""https://docs.google.com/spreadsheets/d/1SX6NBoVAgQJ6U1MVXOaj8PK2l7WJ3RER9xtqwdhxkhw/edit?usp=sharing"",""อ่างทอง!I398"")"),0.0)</f>
        <v>0</v>
      </c>
      <c r="J503" s="232">
        <f>IFERROR(__xludf.DUMMYFUNCTION("IMPORTRANGE(""https://docs.google.com/spreadsheets/d/1SX6NBoVAgQJ6U1MVXOaj8PK2l7WJ3RER9xtqwdhxkhw/edit?usp=sharing"",""อ่างทอง!J398"")"),0.0)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IFERROR(__xludf.DUMMYFUNCTION("IMPORTRANGE(""https://docs.google.com/spreadsheets/d/1SX6NBoVAgQJ6U1MVXOaj8PK2l7WJ3RER9xtqwdhxkhw/edit?usp=sharing"",""อ่างทอง!I399"")"),0.0)</f>
        <v>0</v>
      </c>
      <c r="J504" s="223">
        <f>IFERROR(__xludf.DUMMYFUNCTION("IMPORTRANGE(""https://docs.google.com/spreadsheets/d/1SX6NBoVAgQJ6U1MVXOaj8PK2l7WJ3RER9xtqwdhxkhw/edit?usp=sharing"",""อ่างทอง!J399"")"),0.0)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IFERROR(__xludf.DUMMYFUNCTION("IMPORTRANGE(""https://docs.google.com/spreadsheets/d/1SX6NBoVAgQJ6U1MVXOaj8PK2l7WJ3RER9xtqwdhxkhw/edit?usp=sharing"",""อ่างทอง!I400"")"),0.0)</f>
        <v>0</v>
      </c>
      <c r="J505" s="232">
        <f>IFERROR(__xludf.DUMMYFUNCTION("IMPORTRANGE(""https://docs.google.com/spreadsheets/d/1SX6NBoVAgQJ6U1MVXOaj8PK2l7WJ3RER9xtqwdhxkhw/edit?usp=sharing"",""อ่างทอง!J400"")"),0.0)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IFERROR(__xludf.DUMMYFUNCTION("IMPORTRANGE(""https://docs.google.com/spreadsheets/d/1SX6NBoVAgQJ6U1MVXOaj8PK2l7WJ3RER9xtqwdhxkhw/edit?usp=sharing"",""อ่างทอง!I401"")"),0.0)</f>
        <v>0</v>
      </c>
      <c r="J506" s="223">
        <f>IFERROR(__xludf.DUMMYFUNCTION("IMPORTRANGE(""https://docs.google.com/spreadsheets/d/1SX6NBoVAgQJ6U1MVXOaj8PK2l7WJ3RER9xtqwdhxkhw/edit?usp=sharing"",""อ่างทอง!J401"")"),0.0)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IFERROR(__xludf.DUMMYFUNCTION("IMPORTRANGE(""https://docs.google.com/spreadsheets/d/1SX6NBoVAgQJ6U1MVXOaj8PK2l7WJ3RER9xtqwdhxkhw/edit?usp=sharing"",""อ่างทอง!I402"")"),0.0)</f>
        <v>0</v>
      </c>
      <c r="J507" s="232">
        <f>IFERROR(__xludf.DUMMYFUNCTION("IMPORTRANGE(""https://docs.google.com/spreadsheets/d/1SX6NBoVAgQJ6U1MVXOaj8PK2l7WJ3RER9xtqwdhxkhw/edit?usp=sharing"",""อ่างทอง!J402"")"),0.0)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IFERROR(__xludf.DUMMYFUNCTION("IMPORTRANGE(""https://docs.google.com/spreadsheets/d/1SX6NBoVAgQJ6U1MVXOaj8PK2l7WJ3RER9xtqwdhxkhw/edit?usp=sharing"",""อ่างทอง!I403"")"),0.0)</f>
        <v>0</v>
      </c>
      <c r="J508" s="195">
        <f>IFERROR(__xludf.DUMMYFUNCTION("IMPORTRANGE(""https://docs.google.com/spreadsheets/d/1SX6NBoVAgQJ6U1MVXOaj8PK2l7WJ3RER9xtqwdhxkhw/edit?usp=sharing"",""อ่างทอง!J403"")"),0.0)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IFERROR(__xludf.DUMMYFUNCTION("IMPORTRANGE(""https://docs.google.com/spreadsheets/d/1SX6NBoVAgQJ6U1MVXOaj8PK2l7WJ3RER9xtqwdhxkhw/edit?usp=sharing"",""อ่างทอง!I404"")"),0.0)</f>
        <v>0</v>
      </c>
      <c r="J509" s="195">
        <f>IFERROR(__xludf.DUMMYFUNCTION("IMPORTRANGE(""https://docs.google.com/spreadsheets/d/1SX6NBoVAgQJ6U1MVXOaj8PK2l7WJ3RER9xtqwdhxkhw/edit?usp=sharing"",""อ่างทอง!J404"")"),0.0)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IFERROR(__xludf.DUMMYFUNCTION("IMPORTRANGE(""https://docs.google.com/spreadsheets/d/1SX6NBoVAgQJ6U1MVXOaj8PK2l7WJ3RER9xtqwdhxkhw/edit?usp=sharing"",""อ่างทอง!I405"")"),0.0)</f>
        <v>0</v>
      </c>
      <c r="J510" s="232">
        <f>IFERROR(__xludf.DUMMYFUNCTION("IMPORTRANGE(""https://docs.google.com/spreadsheets/d/1SX6NBoVAgQJ6U1MVXOaj8PK2l7WJ3RER9xtqwdhxkhw/edit?usp=sharing"",""อ่างทอง!J405"")"),0.0)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IFERROR(__xludf.DUMMYFUNCTION("IMPORTRANGE(""https://docs.google.com/spreadsheets/d/1SX6NBoVAgQJ6U1MVXOaj8PK2l7WJ3RER9xtqwdhxkhw/edit?usp=sharing"",""อ่างทอง!I406"")"),0.0)</f>
        <v>0</v>
      </c>
      <c r="J511" s="232">
        <f>IFERROR(__xludf.DUMMYFUNCTION("IMPORTRANGE(""https://docs.google.com/spreadsheets/d/1SX6NBoVAgQJ6U1MVXOaj8PK2l7WJ3RER9xtqwdhxkhw/edit?usp=sharing"",""อ่างทอง!J406"")"),0.0)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IFERROR(__xludf.DUMMYFUNCTION("IMPORTRANGE(""https://docs.google.com/spreadsheets/d/1SX6NBoVAgQJ6U1MVXOaj8PK2l7WJ3RER9xtqwdhxkhw/edit?usp=sharing"",""อ่างทอง!I407"")"),0.0)</f>
        <v>0</v>
      </c>
      <c r="J512" s="232">
        <f>IFERROR(__xludf.DUMMYFUNCTION("IMPORTRANGE(""https://docs.google.com/spreadsheets/d/1SX6NBoVAgQJ6U1MVXOaj8PK2l7WJ3RER9xtqwdhxkhw/edit?usp=sharing"",""อ่างทอง!J407"")"),0.0)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IFERROR(__xludf.DUMMYFUNCTION("IMPORTRANGE(""https://docs.google.com/spreadsheets/d/1SX6NBoVAgQJ6U1MVXOaj8PK2l7WJ3RER9xtqwdhxkhw/edit?usp=sharing"",""อ่างทอง!I408"")"),0.0)</f>
        <v>0</v>
      </c>
      <c r="J513" s="232">
        <f>IFERROR(__xludf.DUMMYFUNCTION("IMPORTRANGE(""https://docs.google.com/spreadsheets/d/1SX6NBoVAgQJ6U1MVXOaj8PK2l7WJ3RER9xtqwdhxkhw/edit?usp=sharing"",""อ่างทอง!J408"")"),0.0)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IFERROR(__xludf.DUMMYFUNCTION("IMPORTRANGE(""https://docs.google.com/spreadsheets/d/1SX6NBoVAgQJ6U1MVXOaj8PK2l7WJ3RER9xtqwdhxkhw/edit?usp=sharing"",""อ่างทอง!I409"")"),0.0)</f>
        <v>0</v>
      </c>
      <c r="J514" s="232">
        <f>IFERROR(__xludf.DUMMYFUNCTION("IMPORTRANGE(""https://docs.google.com/spreadsheets/d/1SX6NBoVAgQJ6U1MVXOaj8PK2l7WJ3RER9xtqwdhxkhw/edit?usp=sharing"",""อ่างทอง!J409"")"),0.0)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IFERROR(__xludf.DUMMYFUNCTION("IMPORTRANGE(""https://docs.google.com/spreadsheets/d/1SX6NBoVAgQJ6U1MVXOaj8PK2l7WJ3RER9xtqwdhxkhw/edit?usp=sharing"",""อ่างทอง!I410"")"),0.0)</f>
        <v>0</v>
      </c>
      <c r="J515" s="232">
        <f>IFERROR(__xludf.DUMMYFUNCTION("IMPORTRANGE(""https://docs.google.com/spreadsheets/d/1SX6NBoVAgQJ6U1MVXOaj8PK2l7WJ3RER9xtqwdhxkhw/edit?usp=sharing"",""อ่างทอง!J410"")"),0.0)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IFERROR(__xludf.DUMMYFUNCTION("IMPORTRANGE(""https://docs.google.com/spreadsheets/d/1SX6NBoVAgQJ6U1MVXOaj8PK2l7WJ3RER9xtqwdhxkhw/edit?usp=sharing"",""อ่างทอง!I411"")"),0.0)</f>
        <v>0</v>
      </c>
      <c r="J516" s="301">
        <f>IFERROR(__xludf.DUMMYFUNCTION("IMPORTRANGE(""https://docs.google.com/spreadsheets/d/1SX6NBoVAgQJ6U1MVXOaj8PK2l7WJ3RER9xtqwdhxkhw/edit?usp=sharing"",""อ่างทอง!J411"")"),0.0)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IFERROR(__xludf.DUMMYFUNCTION("IMPORTRANGE(""https://docs.google.com/spreadsheets/d/1SX6NBoVAgQJ6U1MVXOaj8PK2l7WJ3RER9xtqwdhxkhw/edit?usp=sharing"",""อ่างทอง!I412"")"),0.0)</f>
        <v>0</v>
      </c>
      <c r="J517" s="317">
        <f>IFERROR(__xludf.DUMMYFUNCTION("IMPORTRANGE(""https://docs.google.com/spreadsheets/d/1SX6NBoVAgQJ6U1MVXOaj8PK2l7WJ3RER9xtqwdhxkhw/edit?usp=sharing"",""อ่างทอง!J412"")"),0.0)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IFERROR(__xludf.DUMMYFUNCTION("IMPORTRANGE(""https://docs.google.com/spreadsheets/d/1SX6NBoVAgQJ6U1MVXOaj8PK2l7WJ3RER9xtqwdhxkhw/edit?usp=sharing"",""อ่างทอง!I413"")"),0.0)</f>
        <v>0</v>
      </c>
      <c r="J518" s="317">
        <f>IFERROR(__xludf.DUMMYFUNCTION("IMPORTRANGE(""https://docs.google.com/spreadsheets/d/1SX6NBoVAgQJ6U1MVXOaj8PK2l7WJ3RER9xtqwdhxkhw/edit?usp=sharing"",""อ่างทอง!J413"")"),0.0)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IFERROR(__xludf.DUMMYFUNCTION("IMPORTRANGE(""https://docs.google.com/spreadsheets/d/1SX6NBoVAgQJ6U1MVXOaj8PK2l7WJ3RER9xtqwdhxkhw/edit?usp=sharing"",""อ่างทอง!I414"")"),0.0)</f>
        <v>0</v>
      </c>
      <c r="J519" s="222">
        <f>IFERROR(__xludf.DUMMYFUNCTION("IMPORTRANGE(""https://docs.google.com/spreadsheets/d/1SX6NBoVAgQJ6U1MVXOaj8PK2l7WJ3RER9xtqwdhxkhw/edit?usp=sharing"",""อ่างทอง!J414"")"),0.0)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IFERROR(__xludf.DUMMYFUNCTION("IMPORTRANGE(""https://docs.google.com/spreadsheets/d/1SX6NBoVAgQJ6U1MVXOaj8PK2l7WJ3RER9xtqwdhxkhw/edit?usp=sharing"",""อ่างทอง!I415"")"),0.0)</f>
        <v>0</v>
      </c>
      <c r="J520" s="222">
        <f>IFERROR(__xludf.DUMMYFUNCTION("IMPORTRANGE(""https://docs.google.com/spreadsheets/d/1SX6NBoVAgQJ6U1MVXOaj8PK2l7WJ3RER9xtqwdhxkhw/edit?usp=sharing"",""อ่างทอง!J415"")"),0.0)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IFERROR(__xludf.DUMMYFUNCTION("IMPORTRANGE(""https://docs.google.com/spreadsheets/d/1SX6NBoVAgQJ6U1MVXOaj8PK2l7WJ3RER9xtqwdhxkhw/edit?usp=sharing"",""อ่างทอง!I416"")"),0.0)</f>
        <v>0</v>
      </c>
      <c r="J521" s="222">
        <f>IFERROR(__xludf.DUMMYFUNCTION("IMPORTRANGE(""https://docs.google.com/spreadsheets/d/1SX6NBoVAgQJ6U1MVXOaj8PK2l7WJ3RER9xtqwdhxkhw/edit?usp=sharing"",""อ่างทอง!J416"")"),0.0)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IFERROR(__xludf.DUMMYFUNCTION("IMPORTRANGE(""https://docs.google.com/spreadsheets/d/1SX6NBoVAgQJ6U1MVXOaj8PK2l7WJ3RER9xtqwdhxkhw/edit?usp=sharing"",""อ่างทอง!I417"")"),0.0)</f>
        <v>0</v>
      </c>
      <c r="J522" s="222">
        <f>IFERROR(__xludf.DUMMYFUNCTION("IMPORTRANGE(""https://docs.google.com/spreadsheets/d/1SX6NBoVAgQJ6U1MVXOaj8PK2l7WJ3RER9xtqwdhxkhw/edit?usp=sharing"",""อ่างทอง!J417"")"),0.0)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IFERROR(__xludf.DUMMYFUNCTION("IMPORTRANGE(""https://docs.google.com/spreadsheets/d/1SX6NBoVAgQJ6U1MVXOaj8PK2l7WJ3RER9xtqwdhxkhw/edit?usp=sharing"",""อ่างทอง!I418"")"),0.0)</f>
        <v>0</v>
      </c>
      <c r="J523" s="222">
        <f>IFERROR(__xludf.DUMMYFUNCTION("IMPORTRANGE(""https://docs.google.com/spreadsheets/d/1SX6NBoVAgQJ6U1MVXOaj8PK2l7WJ3RER9xtqwdhxkhw/edit?usp=sharing"",""อ่างทอง!J418"")"),0.0)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IFERROR(__xludf.DUMMYFUNCTION("IMPORTRANGE(""https://docs.google.com/spreadsheets/d/1SX6NBoVAgQJ6U1MVXOaj8PK2l7WJ3RER9xtqwdhxkhw/edit?usp=sharing"",""อ่างทอง!I419"")"),0.0)</f>
        <v>0</v>
      </c>
      <c r="J524" s="222">
        <f>IFERROR(__xludf.DUMMYFUNCTION("IMPORTRANGE(""https://docs.google.com/spreadsheets/d/1SX6NBoVAgQJ6U1MVXOaj8PK2l7WJ3RER9xtqwdhxkhw/edit?usp=sharing"",""อ่างทอง!J419"")"),0.0)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IFERROR(__xludf.DUMMYFUNCTION("IMPORTRANGE(""https://docs.google.com/spreadsheets/d/1SX6NBoVAgQJ6U1MVXOaj8PK2l7WJ3RER9xtqwdhxkhw/edit?usp=sharing"",""อ่างทอง!I420"")"),0.0)</f>
        <v>0</v>
      </c>
      <c r="J525" s="317">
        <f>IFERROR(__xludf.DUMMYFUNCTION("IMPORTRANGE(""https://docs.google.com/spreadsheets/d/1SX6NBoVAgQJ6U1MVXOaj8PK2l7WJ3RER9xtqwdhxkhw/edit?usp=sharing"",""อ่างทอง!J420"")"),0.0)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IFERROR(__xludf.DUMMYFUNCTION("IMPORTRANGE(""https://docs.google.com/spreadsheets/d/1SX6NBoVAgQJ6U1MVXOaj8PK2l7WJ3RER9xtqwdhxkhw/edit?usp=sharing"",""อ่างทอง!I421"")"),0.0)</f>
        <v>0</v>
      </c>
      <c r="J526" s="317">
        <f>IFERROR(__xludf.DUMMYFUNCTION("IMPORTRANGE(""https://docs.google.com/spreadsheets/d/1SX6NBoVAgQJ6U1MVXOaj8PK2l7WJ3RER9xtqwdhxkhw/edit?usp=sharing"",""อ่างทอง!J421"")"),0.0)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IFERROR(__xludf.DUMMYFUNCTION("IMPORTRANGE(""https://docs.google.com/spreadsheets/d/1SX6NBoVAgQJ6U1MVXOaj8PK2l7WJ3RER9xtqwdhxkhw/edit?usp=sharing"",""อ่างทอง!I422"")"),0.0)</f>
        <v>0</v>
      </c>
      <c r="J527" s="232">
        <f>IFERROR(__xludf.DUMMYFUNCTION("IMPORTRANGE(""https://docs.google.com/spreadsheets/d/1SX6NBoVAgQJ6U1MVXOaj8PK2l7WJ3RER9xtqwdhxkhw/edit?usp=sharing"",""อ่างทอง!J422"")"),0.0)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IFERROR(__xludf.DUMMYFUNCTION("IMPORTRANGE(""https://docs.google.com/spreadsheets/d/1SX6NBoVAgQJ6U1MVXOaj8PK2l7WJ3RER9xtqwdhxkhw/edit?usp=sharing"",""อ่างทอง!I423"")"),0.0)</f>
        <v>0</v>
      </c>
      <c r="J528" s="232">
        <f>IFERROR(__xludf.DUMMYFUNCTION("IMPORTRANGE(""https://docs.google.com/spreadsheets/d/1SX6NBoVAgQJ6U1MVXOaj8PK2l7WJ3RER9xtqwdhxkhw/edit?usp=sharing"",""อ่างทอง!J423"")"),0.0)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IFERROR(__xludf.DUMMYFUNCTION("IMPORTRANGE(""https://docs.google.com/spreadsheets/d/1SX6NBoVAgQJ6U1MVXOaj8PK2l7WJ3RER9xtqwdhxkhw/edit?usp=sharing"",""อ่างทอง!I424"")"),0.0)</f>
        <v>0</v>
      </c>
      <c r="J529" s="232">
        <f>IFERROR(__xludf.DUMMYFUNCTION("IMPORTRANGE(""https://docs.google.com/spreadsheets/d/1SX6NBoVAgQJ6U1MVXOaj8PK2l7WJ3RER9xtqwdhxkhw/edit?usp=sharing"",""อ่างทอง!J424"")"),0.0)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IFERROR(__xludf.DUMMYFUNCTION("IMPORTRANGE(""https://docs.google.com/spreadsheets/d/1SX6NBoVAgQJ6U1MVXOaj8PK2l7WJ3RER9xtqwdhxkhw/edit?usp=sharing"",""อ่างทอง!I425"")"),0.0)</f>
        <v>0</v>
      </c>
      <c r="J530" s="232">
        <f>IFERROR(__xludf.DUMMYFUNCTION("IMPORTRANGE(""https://docs.google.com/spreadsheets/d/1SX6NBoVAgQJ6U1MVXOaj8PK2l7WJ3RER9xtqwdhxkhw/edit?usp=sharing"",""อ่างทอง!J425"")"),0.0)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IFERROR(__xludf.DUMMYFUNCTION("IMPORTRANGE(""https://docs.google.com/spreadsheets/d/1SX6NBoVAgQJ6U1MVXOaj8PK2l7WJ3RER9xtqwdhxkhw/edit?usp=sharing"",""อ่างทอง!I426"")"),0.0)</f>
        <v>0</v>
      </c>
      <c r="J531" s="232">
        <f>IFERROR(__xludf.DUMMYFUNCTION("IMPORTRANGE(""https://docs.google.com/spreadsheets/d/1SX6NBoVAgQJ6U1MVXOaj8PK2l7WJ3RER9xtqwdhxkhw/edit?usp=sharing"",""อ่างทอง!J426"")"),0.0)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IFERROR(__xludf.DUMMYFUNCTION("IMPORTRANGE(""https://docs.google.com/spreadsheets/d/1SX6NBoVAgQJ6U1MVXOaj8PK2l7WJ3RER9xtqwdhxkhw/edit?usp=sharing"",""อ่างทอง!I427"")"),0.0)</f>
        <v>0</v>
      </c>
      <c r="J532" s="499">
        <f>IFERROR(__xludf.DUMMYFUNCTION("IMPORTRANGE(""https://docs.google.com/spreadsheets/d/1SX6NBoVAgQJ6U1MVXOaj8PK2l7WJ3RER9xtqwdhxkhw/edit?usp=sharing"",""อ่างทอง!J427"")"),0.0)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IFERROR(__xludf.DUMMYFUNCTION("IMPORTRANGE(""https://docs.google.com/spreadsheets/d/1SX6NBoVAgQJ6U1MVXOaj8PK2l7WJ3RER9xtqwdhxkhw/edit?usp=sharing"",""อ่างทอง!I428"")"),10.0)</f>
        <v>10</v>
      </c>
      <c r="J533" s="443">
        <f>IFERROR(__xludf.DUMMYFUNCTION("IMPORTRANGE(""https://docs.google.com/spreadsheets/d/1SX6NBoVAgQJ6U1MVXOaj8PK2l7WJ3RER9xtqwdhxkhw/edit?usp=sharing"",""อ่างทอง!J428"")"),0.0)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IFERROR(__xludf.DUMMYFUNCTION("IMPORTRANGE(""https://docs.google.com/spreadsheets/d/1SX6NBoVAgQJ6U1MVXOaj8PK2l7WJ3RER9xtqwdhxkhw/edit?usp=sharing"",""อ่างทอง!L428"")"),24140.0)</f>
        <v>24140</v>
      </c>
      <c r="M533" s="445"/>
      <c r="N533" s="445">
        <f>IFERROR(__xludf.DUMMYFUNCTION("IMPORTRANGE(""https://docs.google.com/spreadsheets/d/1SX6NBoVAgQJ6U1MVXOaj8PK2l7WJ3RER9xtqwdhxkhw/edit?usp=sharing"",""อ่างทอง!M428"")"),5990.0)</f>
        <v>5990</v>
      </c>
      <c r="O533" s="445">
        <f t="shared" ref="O533:O537" si="119">+IF(L533&gt;0,N533*100/L533,0)</f>
        <v>24.81358741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IFERROR(__xludf.DUMMYFUNCTION("IMPORTRANGE(""https://docs.google.com/spreadsheets/d/1SX6NBoVAgQJ6U1MVXOaj8PK2l7WJ3RER9xtqwdhxkhw/edit?usp=sharing"",""อ่างทอง!L429"")"),0.0)</f>
        <v>0</v>
      </c>
      <c r="M534" s="197"/>
      <c r="N534" s="203">
        <f>IFERROR(__xludf.DUMMYFUNCTION("IMPORTRANGE(""https://docs.google.com/spreadsheets/d/1SX6NBoVAgQJ6U1MVXOaj8PK2l7WJ3RER9xtqwdhxkhw/edit?usp=sharing"",""อ่างทอง!M429"")"),0.0)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IFERROR(__xludf.DUMMYFUNCTION("IMPORTRANGE(""https://docs.google.com/spreadsheets/d/1SX6NBoVAgQJ6U1MVXOaj8PK2l7WJ3RER9xtqwdhxkhw/edit?usp=sharing"",""อ่างทอง!L430"")"),24140.0)</f>
        <v>24140</v>
      </c>
      <c r="M535" s="198"/>
      <c r="N535" s="203">
        <f>IFERROR(__xludf.DUMMYFUNCTION("IMPORTRANGE(""https://docs.google.com/spreadsheets/d/1SX6NBoVAgQJ6U1MVXOaj8PK2l7WJ3RER9xtqwdhxkhw/edit?usp=sharing"",""อ่างทอง!M430"")"),5990.0)</f>
        <v>5990</v>
      </c>
      <c r="O535" s="203">
        <f t="shared" si="119"/>
        <v>24.81358741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IFERROR(__xludf.DUMMYFUNCTION("IMPORTRANGE(""https://docs.google.com/spreadsheets/d/1SX6NBoVAgQJ6U1MVXOaj8PK2l7WJ3RER9xtqwdhxkhw/edit?usp=sharing"",""อ่างทอง!L431"")"),0.0)</f>
        <v>0</v>
      </c>
      <c r="M536" s="203"/>
      <c r="N536" s="203">
        <f>IFERROR(__xludf.DUMMYFUNCTION("IMPORTRANGE(""https://docs.google.com/spreadsheets/d/1SX6NBoVAgQJ6U1MVXOaj8PK2l7WJ3RER9xtqwdhxkhw/edit?usp=sharing"",""อ่างทอง!M431"")"),0.0)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IFERROR(__xludf.DUMMYFUNCTION("IMPORTRANGE(""https://docs.google.com/spreadsheets/d/1SX6NBoVAgQJ6U1MVXOaj8PK2l7WJ3RER9xtqwdhxkhw/edit?usp=sharing"",""อ่างทอง!L432"")"),24140.0)</f>
        <v>24140</v>
      </c>
      <c r="M537" s="203"/>
      <c r="N537" s="203">
        <f>IFERROR(__xludf.DUMMYFUNCTION("IMPORTRANGE(""https://docs.google.com/spreadsheets/d/1SX6NBoVAgQJ6U1MVXOaj8PK2l7WJ3RER9xtqwdhxkhw/edit?usp=sharing"",""อ่างทอง!M432"")"),5990.0)</f>
        <v>5990</v>
      </c>
      <c r="O537" s="203">
        <f t="shared" si="119"/>
        <v>24.81358741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IFERROR(__xludf.DUMMYFUNCTION("IMPORTRANGE(""https://docs.google.com/spreadsheets/d/1SX6NBoVAgQJ6U1MVXOaj8PK2l7WJ3RER9xtqwdhxkhw/edit?usp=sharing"",""อ่างทอง!M433"")"),5990.0)</f>
        <v>5990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IFERROR(__xludf.DUMMYFUNCTION("IMPORTRANGE(""https://docs.google.com/spreadsheets/d/1SX6NBoVAgQJ6U1MVXOaj8PK2l7WJ3RER9xtqwdhxkhw/edit?usp=sharing"",""อ่างทอง!M434"")"),0.0)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IFERROR(__xludf.DUMMYFUNCTION("IMPORTRANGE(""https://docs.google.com/spreadsheets/d/1SX6NBoVAgQJ6U1MVXOaj8PK2l7WJ3RER9xtqwdhxkhw/edit?usp=sharing"",""อ่างทอง!M435"")"),0.0)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IFERROR(__xludf.DUMMYFUNCTION("IMPORTRANGE(""https://docs.google.com/spreadsheets/d/1SX6NBoVAgQJ6U1MVXOaj8PK2l7WJ3RER9xtqwdhxkhw/edit?usp=sharing"",""อ่างทอง!M436"")"),0.0)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IFERROR(__xludf.DUMMYFUNCTION("IMPORTRANGE(""https://docs.google.com/spreadsheets/d/1SX6NBoVAgQJ6U1MVXOaj8PK2l7WJ3RER9xtqwdhxkhw/edit?usp=sharing"",""อ่างทอง!J438"")"),0.0)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IFERROR(__xludf.DUMMYFUNCTION("IMPORTRANGE(""https://docs.google.com/spreadsheets/d/1SX6NBoVAgQJ6U1MVXOaj8PK2l7WJ3RER9xtqwdhxkhw/edit?usp=sharing"",""อ่างทอง!J439"")"),1.0)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IFERROR(__xludf.DUMMYFUNCTION("IMPORTRANGE(""https://docs.google.com/spreadsheets/d/1SX6NBoVAgQJ6U1MVXOaj8PK2l7WJ3RER9xtqwdhxkhw/edit?usp=sharing"",""อ่างทอง!J440"")"),1.0)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IFERROR(__xludf.DUMMYFUNCTION("IMPORTRANGE(""https://docs.google.com/spreadsheets/d/1SX6NBoVAgQJ6U1MVXOaj8PK2l7WJ3RER9xtqwdhxkhw/edit?usp=sharing"",""อ่างทอง!J441"")"),1.0)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IFERROR(__xludf.DUMMYFUNCTION("IMPORTRANGE(""https://docs.google.com/spreadsheets/d/1SX6NBoVAgQJ6U1MVXOaj8PK2l7WJ3RER9xtqwdhxkhw/edit?usp=sharing"",""อ่างทอง!I442"")"),10.0)</f>
        <v>10</v>
      </c>
      <c r="J547" s="223">
        <f>IFERROR(__xludf.DUMMYFUNCTION("IMPORTRANGE(""https://docs.google.com/spreadsheets/d/1SX6NBoVAgQJ6U1MVXOaj8PK2l7WJ3RER9xtqwdhxkhw/edit?usp=sharing"",""อ่างทอง!J442"")"),0.0)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IFERROR(__xludf.DUMMYFUNCTION("IMPORTRANGE(""https://docs.google.com/spreadsheets/d/1SX6NBoVAgQJ6U1MVXOaj8PK2l7WJ3RER9xtqwdhxkhw/edit?usp=sharing"",""อ่างทอง!J166"")"),0.0)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IFERROR(__xludf.DUMMYFUNCTION("IMPORTRANGE(""https://docs.google.com/spreadsheets/d/1SX6NBoVAgQJ6U1MVXOaj8PK2l7WJ3RER9xtqwdhxkhw/edit?usp=sharing"",""อ่างทอง!J444"")"),0.0)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IFERROR(__xludf.DUMMYFUNCTION("IMPORTRANGE(""https://docs.google.com/spreadsheets/d/1SX6NBoVAgQJ6U1MVXOaj8PK2l7WJ3RER9xtqwdhxkhw/edit?usp=sharing"",""อ่างทอง!J445"")"),0.0)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IFERROR(__xludf.DUMMYFUNCTION("IMPORTRANGE(""https://docs.google.com/spreadsheets/d/1SX6NBoVAgQJ6U1MVXOaj8PK2l7WJ3RER9xtqwdhxkhw/edit?usp=sharing"",""อ่างทอง!I446"")"),0.0)</f>
        <v>0</v>
      </c>
      <c r="J551" s="443">
        <f>IFERROR(__xludf.DUMMYFUNCTION("IMPORTRANGE(""https://docs.google.com/spreadsheets/d/1SX6NBoVAgQJ6U1MVXOaj8PK2l7WJ3RER9xtqwdhxkhw/edit?usp=sharing"",""อ่างทอง!J446"")"),0.0)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IFERROR(__xludf.DUMMYFUNCTION("IMPORTRANGE(""https://docs.google.com/spreadsheets/d/1SX6NBoVAgQJ6U1MVXOaj8PK2l7WJ3RER9xtqwdhxkhw/edit?usp=sharing"",""อ่างทอง!L446"")"),0.0)</f>
        <v>0</v>
      </c>
      <c r="M551" s="445"/>
      <c r="N551" s="445">
        <f>IFERROR(__xludf.DUMMYFUNCTION("IMPORTRANGE(""https://docs.google.com/spreadsheets/d/1SX6NBoVAgQJ6U1MVXOaj8PK2l7WJ3RER9xtqwdhxkhw/edit?usp=sharing"",""อ่างทอง!M446"")"),0.0)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IFERROR(__xludf.DUMMYFUNCTION("IMPORTRANGE(""https://docs.google.com/spreadsheets/d/1SX6NBoVAgQJ6U1MVXOaj8PK2l7WJ3RER9xtqwdhxkhw/edit?usp=sharing"",""อ่างทอง!L447"")"),0.0)</f>
        <v>0</v>
      </c>
      <c r="M552" s="197"/>
      <c r="N552" s="203">
        <f>IFERROR(__xludf.DUMMYFUNCTION("IMPORTRANGE(""https://docs.google.com/spreadsheets/d/1SX6NBoVAgQJ6U1MVXOaj8PK2l7WJ3RER9xtqwdhxkhw/edit?usp=sharing"",""อ่างทอง!M447"")"),0.0)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IFERROR(__xludf.DUMMYFUNCTION("IMPORTRANGE(""https://docs.google.com/spreadsheets/d/1SX6NBoVAgQJ6U1MVXOaj8PK2l7WJ3RER9xtqwdhxkhw/edit?usp=sharing"",""อ่างทอง!L448"")"),0.0)</f>
        <v>0</v>
      </c>
      <c r="M553" s="198"/>
      <c r="N553" s="203">
        <f>IFERROR(__xludf.DUMMYFUNCTION("IMPORTRANGE(""https://docs.google.com/spreadsheets/d/1SX6NBoVAgQJ6U1MVXOaj8PK2l7WJ3RER9xtqwdhxkhw/edit?usp=sharing"",""อ่างทอง!M448"")"),0.0)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IFERROR(__xludf.DUMMYFUNCTION("IMPORTRANGE(""https://docs.google.com/spreadsheets/d/1SX6NBoVAgQJ6U1MVXOaj8PK2l7WJ3RER9xtqwdhxkhw/edit?usp=sharing"",""อ่างทอง!L449"")"),0.0)</f>
        <v>0</v>
      </c>
      <c r="M554" s="203"/>
      <c r="N554" s="203">
        <f>IFERROR(__xludf.DUMMYFUNCTION("IMPORTRANGE(""https://docs.google.com/spreadsheets/d/1SX6NBoVAgQJ6U1MVXOaj8PK2l7WJ3RER9xtqwdhxkhw/edit?usp=sharing"",""อ่างทอง!M449"")"),0.0)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IFERROR(__xludf.DUMMYFUNCTION("IMPORTRANGE(""https://docs.google.com/spreadsheets/d/1SX6NBoVAgQJ6U1MVXOaj8PK2l7WJ3RER9xtqwdhxkhw/edit?usp=sharing"",""อ่างทอง!L450"")"),0.0)</f>
        <v>0</v>
      </c>
      <c r="M555" s="203"/>
      <c r="N555" s="203">
        <f>IFERROR(__xludf.DUMMYFUNCTION("IMPORTRANGE(""https://docs.google.com/spreadsheets/d/1SX6NBoVAgQJ6U1MVXOaj8PK2l7WJ3RER9xtqwdhxkhw/edit?usp=sharing"",""อ่างทอง!M450"")"),0.0)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IFERROR(__xludf.DUMMYFUNCTION("IMPORTRANGE(""https://docs.google.com/spreadsheets/d/1SX6NBoVAgQJ6U1MVXOaj8PK2l7WJ3RER9xtqwdhxkhw/edit?usp=sharing"",""อ่างทอง!M451"")"),0.0)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IFERROR(__xludf.DUMMYFUNCTION("IMPORTRANGE(""https://docs.google.com/spreadsheets/d/1SX6NBoVAgQJ6U1MVXOaj8PK2l7WJ3RER9xtqwdhxkhw/edit?usp=sharing"",""อ่างทอง!M452"")"),0.0)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IFERROR(__xludf.DUMMYFUNCTION("IMPORTRANGE(""https://docs.google.com/spreadsheets/d/1SX6NBoVAgQJ6U1MVXOaj8PK2l7WJ3RER9xtqwdhxkhw/edit?usp=sharing"",""อ่างทอง!M453"")"),0.0)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IFERROR(__xludf.DUMMYFUNCTION("IMPORTRANGE(""https://docs.google.com/spreadsheets/d/1SX6NBoVAgQJ6U1MVXOaj8PK2l7WJ3RER9xtqwdhxkhw/edit?usp=sharing"",""อ่างทอง!M454"")"),0.0)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IFERROR(__xludf.DUMMYFUNCTION("IMPORTRANGE(""https://docs.google.com/spreadsheets/d/1SX6NBoVAgQJ6U1MVXOaj8PK2l7WJ3RER9xtqwdhxkhw/edit?usp=sharing"",""อ่างทอง!I455"")"),0.0)</f>
        <v>0</v>
      </c>
      <c r="J560" s="195">
        <f>IFERROR(__xludf.DUMMYFUNCTION("IMPORTRANGE(""https://docs.google.com/spreadsheets/d/1SX6NBoVAgQJ6U1MVXOaj8PK2l7WJ3RER9xtqwdhxkhw/edit?usp=sharing"",""อ่างทอง!J455"")"),0.0)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IFERROR(__xludf.DUMMYFUNCTION("IMPORTRANGE(""https://docs.google.com/spreadsheets/d/1SX6NBoVAgQJ6U1MVXOaj8PK2l7WJ3RER9xtqwdhxkhw/edit?usp=sharing"",""อ่างทอง!I456"")"),0.0)</f>
        <v>0</v>
      </c>
      <c r="J561" s="238">
        <f>IFERROR(__xludf.DUMMYFUNCTION("IMPORTRANGE(""https://docs.google.com/spreadsheets/d/1SX6NBoVAgQJ6U1MVXOaj8PK2l7WJ3RER9xtqwdhxkhw/edit?usp=sharing"",""อ่างทอง!J456"")"),0.0)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IFERROR(__xludf.DUMMYFUNCTION("IMPORTRANGE(""https://docs.google.com/spreadsheets/d/1SX6NBoVAgQJ6U1MVXOaj8PK2l7WJ3RER9xtqwdhxkhw/edit?usp=sharing"",""อ่างทอง!I457"")"),"")</f>
        <v/>
      </c>
      <c r="J562" s="238" t="str">
        <f>IFERROR(__xludf.DUMMYFUNCTION("IMPORTRANGE(""https://docs.google.com/spreadsheets/d/1SX6NBoVAgQJ6U1MVXOaj8PK2l7WJ3RER9xtqwdhxkhw/edit?usp=sharing"",""อ่างทอง!J457"")"),"")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IFERROR(__xludf.DUMMYFUNCTION("IMPORTRANGE(""https://docs.google.com/spreadsheets/d/1SX6NBoVAgQJ6U1MVXOaj8PK2l7WJ3RER9xtqwdhxkhw/edit?usp=sharing"",""อ่างทอง!I458"")"),"")</f>
        <v/>
      </c>
      <c r="J563" s="222" t="str">
        <f>IFERROR(__xludf.DUMMYFUNCTION("IMPORTRANGE(""https://docs.google.com/spreadsheets/d/1SX6NBoVAgQJ6U1MVXOaj8PK2l7WJ3RER9xtqwdhxkhw/edit?usp=sharing"",""อ่างทอง!J458"")"),"")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IFERROR(__xludf.DUMMYFUNCTION("IMPORTRANGE(""https://docs.google.com/spreadsheets/d/1SX6NBoVAgQJ6U1MVXOaj8PK2l7WJ3RER9xtqwdhxkhw/edit?usp=sharing"",""อ่างทอง!I459"")"),20.0)</f>
        <v>20</v>
      </c>
      <c r="J564" s="404">
        <f>IFERROR(__xludf.DUMMYFUNCTION("IMPORTRANGE(""https://docs.google.com/spreadsheets/d/1SX6NBoVAgQJ6U1MVXOaj8PK2l7WJ3RER9xtqwdhxkhw/edit?usp=sharing"",""อ่างทอง!J459"")"),5.0)</f>
        <v>5</v>
      </c>
      <c r="K564" s="405">
        <f t="shared" si="122"/>
        <v>25</v>
      </c>
      <c r="L564" s="406">
        <f>IFERROR(__xludf.DUMMYFUNCTION("IMPORTRANGE(""https://docs.google.com/spreadsheets/d/1SX6NBoVAgQJ6U1MVXOaj8PK2l7WJ3RER9xtqwdhxkhw/edit?usp=sharing"",""อ่างทอง!L459"")"),117840.0)</f>
        <v>117840</v>
      </c>
      <c r="M564" s="406"/>
      <c r="N564" s="406">
        <f>IFERROR(__xludf.DUMMYFUNCTION("IMPORTRANGE(""https://docs.google.com/spreadsheets/d/1SX6NBoVAgQJ6U1MVXOaj8PK2l7WJ3RER9xtqwdhxkhw/edit?usp=sharing"",""อ่างทอง!M459"")"),27996.0)</f>
        <v>27996</v>
      </c>
      <c r="O564" s="406">
        <f t="shared" ref="O564:O568" si="123">+IF(L564&gt;0,N564*100/L564,0)</f>
        <v>23.75763747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IFERROR(__xludf.DUMMYFUNCTION("IMPORTRANGE(""https://docs.google.com/spreadsheets/d/1SX6NBoVAgQJ6U1MVXOaj8PK2l7WJ3RER9xtqwdhxkhw/edit?usp=sharing"",""อ่างทอง!L460"")"),0.0)</f>
        <v>0</v>
      </c>
      <c r="M565" s="197"/>
      <c r="N565" s="203">
        <f>IFERROR(__xludf.DUMMYFUNCTION("IMPORTRANGE(""https://docs.google.com/spreadsheets/d/1SX6NBoVAgQJ6U1MVXOaj8PK2l7WJ3RER9xtqwdhxkhw/edit?usp=sharing"",""อ่างทอง!M460"")"),0.0)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IFERROR(__xludf.DUMMYFUNCTION("IMPORTRANGE(""https://docs.google.com/spreadsheets/d/1SX6NBoVAgQJ6U1MVXOaj8PK2l7WJ3RER9xtqwdhxkhw/edit?usp=sharing"",""อ่างทอง!L461"")"),117840.0)</f>
        <v>117840</v>
      </c>
      <c r="M566" s="198"/>
      <c r="N566" s="203">
        <f>IFERROR(__xludf.DUMMYFUNCTION("IMPORTRANGE(""https://docs.google.com/spreadsheets/d/1SX6NBoVAgQJ6U1MVXOaj8PK2l7WJ3RER9xtqwdhxkhw/edit?usp=sharing"",""อ่างทอง!M461"")"),27996.0)</f>
        <v>27996</v>
      </c>
      <c r="O566" s="203">
        <f t="shared" si="123"/>
        <v>23.75763747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IFERROR(__xludf.DUMMYFUNCTION("IMPORTRANGE(""https://docs.google.com/spreadsheets/d/1SX6NBoVAgQJ6U1MVXOaj8PK2l7WJ3RER9xtqwdhxkhw/edit?usp=sharing"",""อ่างทอง!L462"")"),0.0)</f>
        <v>0</v>
      </c>
      <c r="M567" s="203"/>
      <c r="N567" s="203">
        <f>IFERROR(__xludf.DUMMYFUNCTION("IMPORTRANGE(""https://docs.google.com/spreadsheets/d/1SX6NBoVAgQJ6U1MVXOaj8PK2l7WJ3RER9xtqwdhxkhw/edit?usp=sharing"",""อ่างทอง!M462"")"),0.0)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IFERROR(__xludf.DUMMYFUNCTION("IMPORTRANGE(""https://docs.google.com/spreadsheets/d/1SX6NBoVAgQJ6U1MVXOaj8PK2l7WJ3RER9xtqwdhxkhw/edit?usp=sharing"",""อ่างทอง!L463"")"),117840.0)</f>
        <v>117840</v>
      </c>
      <c r="M568" s="203"/>
      <c r="N568" s="203">
        <f>IFERROR(__xludf.DUMMYFUNCTION("IMPORTRANGE(""https://docs.google.com/spreadsheets/d/1SX6NBoVAgQJ6U1MVXOaj8PK2l7WJ3RER9xtqwdhxkhw/edit?usp=sharing"",""อ่างทอง!M463"")"),27996.0)</f>
        <v>27996</v>
      </c>
      <c r="O568" s="203">
        <f t="shared" si="123"/>
        <v>23.75763747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IFERROR(__xludf.DUMMYFUNCTION("IMPORTRANGE(""https://docs.google.com/spreadsheets/d/1SX6NBoVAgQJ6U1MVXOaj8PK2l7WJ3RER9xtqwdhxkhw/edit?usp=sharing"",""อ่างทอง!M464"")"),0.0)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IFERROR(__xludf.DUMMYFUNCTION("IMPORTRANGE(""https://docs.google.com/spreadsheets/d/1SX6NBoVAgQJ6U1MVXOaj8PK2l7WJ3RER9xtqwdhxkhw/edit?usp=sharing"",""อ่างทอง!M465"")"),0.0)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IFERROR(__xludf.DUMMYFUNCTION("IMPORTRANGE(""https://docs.google.com/spreadsheets/d/1SX6NBoVAgQJ6U1MVXOaj8PK2l7WJ3RER9xtqwdhxkhw/edit?usp=sharing"",""อ่างทอง!M466"")"),27996.0)</f>
        <v>27996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IFERROR(__xludf.DUMMYFUNCTION("IMPORTRANGE(""https://docs.google.com/spreadsheets/d/1SX6NBoVAgQJ6U1MVXOaj8PK2l7WJ3RER9xtqwdhxkhw/edit?usp=sharing"",""อ่างทอง!M467"")"),0.0)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IFERROR(__xludf.DUMMYFUNCTION("IMPORTRANGE(""https://docs.google.com/spreadsheets/d/1SX6NBoVAgQJ6U1MVXOaj8PK2l7WJ3RER9xtqwdhxkhw/edit?usp=sharing"",""อ่างทอง!I468"")"),20.0)</f>
        <v>20</v>
      </c>
      <c r="J573" s="453">
        <f>IFERROR(__xludf.DUMMYFUNCTION("IMPORTRANGE(""https://docs.google.com/spreadsheets/d/1SX6NBoVAgQJ6U1MVXOaj8PK2l7WJ3RER9xtqwdhxkhw/edit?usp=sharing"",""อ่างทอง!J468"")"),5.0)</f>
        <v>5</v>
      </c>
      <c r="K573" s="236">
        <f>IF(I573&gt;0,J573*100/I573,0)</f>
        <v>25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IFERROR(__xludf.DUMMYFUNCTION("IMPORTRANGE(""https://docs.google.com/spreadsheets/d/1SX6NBoVAgQJ6U1MVXOaj8PK2l7WJ3RER9xtqwdhxkhw/edit?usp=sharing"",""อ่างทอง!I470"")"),0.0)</f>
        <v>0</v>
      </c>
      <c r="J575" s="232">
        <f>IFERROR(__xludf.DUMMYFUNCTION("IMPORTRANGE(""https://docs.google.com/spreadsheets/d/1SX6NBoVAgQJ6U1MVXOaj8PK2l7WJ3RER9xtqwdhxkhw/edit?usp=sharing"",""อ่างทอง!J470"")"),0.0)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IFERROR(__xludf.DUMMYFUNCTION("IMPORTRANGE(""https://docs.google.com/spreadsheets/d/1SX6NBoVAgQJ6U1MVXOaj8PK2l7WJ3RER9xtqwdhxkhw/edit?usp=sharing"",""อ่างทอง!I471"")"),0.0)</f>
        <v>0</v>
      </c>
      <c r="J576" s="232">
        <f>IFERROR(__xludf.DUMMYFUNCTION("IMPORTRANGE(""https://docs.google.com/spreadsheets/d/1SX6NBoVAgQJ6U1MVXOaj8PK2l7WJ3RER9xtqwdhxkhw/edit?usp=sharing"",""อ่างทอง!J471"")"),0.0)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IFERROR(__xludf.DUMMYFUNCTION("IMPORTRANGE(""https://docs.google.com/spreadsheets/d/1SX6NBoVAgQJ6U1MVXOaj8PK2l7WJ3RER9xtqwdhxkhw/edit?usp=sharing"",""อ่างทอง!I472"")"),0.0)</f>
        <v>0</v>
      </c>
      <c r="J577" s="223">
        <f>IFERROR(__xludf.DUMMYFUNCTION("IMPORTRANGE(""https://docs.google.com/spreadsheets/d/1SX6NBoVAgQJ6U1MVXOaj8PK2l7WJ3RER9xtqwdhxkhw/edit?usp=sharing"",""อ่างทอง!J472"")"),5.0)</f>
        <v>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IFERROR(__xludf.DUMMYFUNCTION("IMPORTRANGE(""https://docs.google.com/spreadsheets/d/1SX6NBoVAgQJ6U1MVXOaj8PK2l7WJ3RER9xtqwdhxkhw/edit?usp=sharing"",""อ่างทอง!I473"")"),0.0)</f>
        <v>0</v>
      </c>
      <c r="J578" s="232">
        <f>IFERROR(__xludf.DUMMYFUNCTION("IMPORTRANGE(""https://docs.google.com/spreadsheets/d/1SX6NBoVAgQJ6U1MVXOaj8PK2l7WJ3RER9xtqwdhxkhw/edit?usp=sharing"",""อ่างทอง!J473"")"),0.0)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IFERROR(__xludf.DUMMYFUNCTION("IMPORTRANGE(""https://docs.google.com/spreadsheets/d/1SX6NBoVAgQJ6U1MVXOaj8PK2l7WJ3RER9xtqwdhxkhw/edit?usp=sharing"",""อ่างทอง!I474"")"),0.0)</f>
        <v>0</v>
      </c>
      <c r="J579" s="232">
        <f>IFERROR(__xludf.DUMMYFUNCTION("IMPORTRANGE(""https://docs.google.com/spreadsheets/d/1SX6NBoVAgQJ6U1MVXOaj8PK2l7WJ3RER9xtqwdhxkhw/edit?usp=sharing"",""อ่างทอง!J474"")"),0.0)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IFERROR(__xludf.DUMMYFUNCTION("IMPORTRANGE(""https://docs.google.com/spreadsheets/d/1SX6NBoVAgQJ6U1MVXOaj8PK2l7WJ3RER9xtqwdhxkhw/edit?usp=sharing"",""อ่างทอง!I475"")"),0.0)</f>
        <v>0</v>
      </c>
      <c r="J580" s="404">
        <f>IFERROR(__xludf.DUMMYFUNCTION("IMPORTRANGE(""https://docs.google.com/spreadsheets/d/1SX6NBoVAgQJ6U1MVXOaj8PK2l7WJ3RER9xtqwdhxkhw/edit?usp=sharing"",""อ่างทอง!J475"")"),0.0)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IFERROR(__xludf.DUMMYFUNCTION("IMPORTRANGE(""https://docs.google.com/spreadsheets/d/1SX6NBoVAgQJ6U1MVXOaj8PK2l7WJ3RER9xtqwdhxkhw/edit?usp=sharing"",""อ่างทอง!L475"")"),0.0)</f>
        <v>0</v>
      </c>
      <c r="M580" s="406"/>
      <c r="N580" s="406">
        <f>IFERROR(__xludf.DUMMYFUNCTION("IMPORTRANGE(""https://docs.google.com/spreadsheets/d/1SX6NBoVAgQJ6U1MVXOaj8PK2l7WJ3RER9xtqwdhxkhw/edit?usp=sharing"",""อ่างทอง!M475"")"),0.0)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IFERROR(__xludf.DUMMYFUNCTION("IMPORTRANGE(""https://docs.google.com/spreadsheets/d/1SX6NBoVAgQJ6U1MVXOaj8PK2l7WJ3RER9xtqwdhxkhw/edit?usp=sharing"",""อ่างทอง!L476"")"),0.0)</f>
        <v>0</v>
      </c>
      <c r="M581" s="197"/>
      <c r="N581" s="203">
        <f>IFERROR(__xludf.DUMMYFUNCTION("IMPORTRANGE(""https://docs.google.com/spreadsheets/d/1SX6NBoVAgQJ6U1MVXOaj8PK2l7WJ3RER9xtqwdhxkhw/edit?usp=sharing"",""อ่างทอง!M476"")"),0.0)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IFERROR(__xludf.DUMMYFUNCTION("IMPORTRANGE(""https://docs.google.com/spreadsheets/d/1SX6NBoVAgQJ6U1MVXOaj8PK2l7WJ3RER9xtqwdhxkhw/edit?usp=sharing"",""อ่างทอง!L477"")"),0.0)</f>
        <v>0</v>
      </c>
      <c r="M582" s="198"/>
      <c r="N582" s="203">
        <f>IFERROR(__xludf.DUMMYFUNCTION("IMPORTRANGE(""https://docs.google.com/spreadsheets/d/1SX6NBoVAgQJ6U1MVXOaj8PK2l7WJ3RER9xtqwdhxkhw/edit?usp=sharing"",""อ่างทอง!M477"")"),0.0)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IFERROR(__xludf.DUMMYFUNCTION("IMPORTRANGE(""https://docs.google.com/spreadsheets/d/1SX6NBoVAgQJ6U1MVXOaj8PK2l7WJ3RER9xtqwdhxkhw/edit?usp=sharing"",""อ่างทอง!L478"")"),0.0)</f>
        <v>0</v>
      </c>
      <c r="M583" s="203"/>
      <c r="N583" s="203">
        <f>IFERROR(__xludf.DUMMYFUNCTION("IMPORTRANGE(""https://docs.google.com/spreadsheets/d/1SX6NBoVAgQJ6U1MVXOaj8PK2l7WJ3RER9xtqwdhxkhw/edit?usp=sharing"",""อ่างทอง!M478"")"),0.0)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IFERROR(__xludf.DUMMYFUNCTION("IMPORTRANGE(""https://docs.google.com/spreadsheets/d/1SX6NBoVAgQJ6U1MVXOaj8PK2l7WJ3RER9xtqwdhxkhw/edit?usp=sharing"",""อ่างทอง!L479"")"),0.0)</f>
        <v>0</v>
      </c>
      <c r="M584" s="203"/>
      <c r="N584" s="203">
        <f>IFERROR(__xludf.DUMMYFUNCTION("IMPORTRANGE(""https://docs.google.com/spreadsheets/d/1SX6NBoVAgQJ6U1MVXOaj8PK2l7WJ3RER9xtqwdhxkhw/edit?usp=sharing"",""อ่างทอง!M479"")"),0.0)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IFERROR(__xludf.DUMMYFUNCTION("IMPORTRANGE(""https://docs.google.com/spreadsheets/d/1SX6NBoVAgQJ6U1MVXOaj8PK2l7WJ3RER9xtqwdhxkhw/edit?usp=sharing"",""อ่างทอง!M480"")"),0.0)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IFERROR(__xludf.DUMMYFUNCTION("IMPORTRANGE(""https://docs.google.com/spreadsheets/d/1SX6NBoVAgQJ6U1MVXOaj8PK2l7WJ3RER9xtqwdhxkhw/edit?usp=sharing"",""อ่างทอง!M481"")"),0.0)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IFERROR(__xludf.DUMMYFUNCTION("IMPORTRANGE(""https://docs.google.com/spreadsheets/d/1SX6NBoVAgQJ6U1MVXOaj8PK2l7WJ3RER9xtqwdhxkhw/edit?usp=sharing"",""อ่างทอง!M482"")"),0.0)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IFERROR(__xludf.DUMMYFUNCTION("IMPORTRANGE(""https://docs.google.com/spreadsheets/d/1SX6NBoVAgQJ6U1MVXOaj8PK2l7WJ3RER9xtqwdhxkhw/edit?usp=sharing"",""อ่างทอง!M483"")"),0.0)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IFERROR(__xludf.DUMMYFUNCTION("IMPORTRANGE(""https://docs.google.com/spreadsheets/d/1SX6NBoVAgQJ6U1MVXOaj8PK2l7WJ3RER9xtqwdhxkhw/edit?usp=sharing"",""อ่างทอง!I484"")"),0.0)</f>
        <v>0</v>
      </c>
      <c r="J589" s="222">
        <f>IFERROR(__xludf.DUMMYFUNCTION("IMPORTRANGE(""https://docs.google.com/spreadsheets/d/1SX6NBoVAgQJ6U1MVXOaj8PK2l7WJ3RER9xtqwdhxkhw/edit?usp=sharing"",""อ่างทอง!J484"")"),0.0)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IFERROR(__xludf.DUMMYFUNCTION("IMPORTRANGE(""https://docs.google.com/spreadsheets/d/1SX6NBoVAgQJ6U1MVXOaj8PK2l7WJ3RER9xtqwdhxkhw/edit?usp=sharing"",""อ่างทอง!I485"")"),0.0)</f>
        <v>0</v>
      </c>
      <c r="J590" s="222">
        <f>IFERROR(__xludf.DUMMYFUNCTION("IMPORTRANGE(""https://docs.google.com/spreadsheets/d/1SX6NBoVAgQJ6U1MVXOaj8PK2l7WJ3RER9xtqwdhxkhw/edit?usp=sharing"",""อ่างทอง!J485"")"),0.0)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IFERROR(__xludf.DUMMYFUNCTION("IMPORTRANGE(""https://docs.google.com/spreadsheets/d/1SX6NBoVAgQJ6U1MVXOaj8PK2l7WJ3RER9xtqwdhxkhw/edit?usp=sharing"",""อ่างทอง!I486"")"),0.0)</f>
        <v>0</v>
      </c>
      <c r="J591" s="222">
        <f>IFERROR(__xludf.DUMMYFUNCTION("IMPORTRANGE(""https://docs.google.com/spreadsheets/d/1SX6NBoVAgQJ6U1MVXOaj8PK2l7WJ3RER9xtqwdhxkhw/edit?usp=sharing"",""อ่างทอง!J486"")"),0.0)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IFERROR(__xludf.DUMMYFUNCTION("IMPORTRANGE(""https://docs.google.com/spreadsheets/d/1SX6NBoVAgQJ6U1MVXOaj8PK2l7WJ3RER9xtqwdhxkhw/edit?usp=sharing"",""อ่างทอง!I487"")"),0.0)</f>
        <v>0</v>
      </c>
      <c r="J592" s="222">
        <f>IFERROR(__xludf.DUMMYFUNCTION("IMPORTRANGE(""https://docs.google.com/spreadsheets/d/1SX6NBoVAgQJ6U1MVXOaj8PK2l7WJ3RER9xtqwdhxkhw/edit?usp=sharing"",""อ่างทอง!J487"")"),0.0)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IFERROR(__xludf.DUMMYFUNCTION("IMPORTRANGE(""https://docs.google.com/spreadsheets/d/1SX6NBoVAgQJ6U1MVXOaj8PK2l7WJ3RER9xtqwdhxkhw/edit?usp=sharing"",""อ่างทอง!I488"")"),0.0)</f>
        <v>0</v>
      </c>
      <c r="J593" s="222">
        <f>IFERROR(__xludf.DUMMYFUNCTION("IMPORTRANGE(""https://docs.google.com/spreadsheets/d/1SX6NBoVAgQJ6U1MVXOaj8PK2l7WJ3RER9xtqwdhxkhw/edit?usp=sharing"",""อ่างทอง!J488"")"),0.0)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IFERROR(__xludf.DUMMYFUNCTION("IMPORTRANGE(""https://docs.google.com/spreadsheets/d/1SX6NBoVAgQJ6U1MVXOaj8PK2l7WJ3RER9xtqwdhxkhw/edit?usp=sharing"",""อ่างทอง!I489"")"),0.0)</f>
        <v>0</v>
      </c>
      <c r="J594" s="222">
        <f>IFERROR(__xludf.DUMMYFUNCTION("IMPORTRANGE(""https://docs.google.com/spreadsheets/d/1SX6NBoVAgQJ6U1MVXOaj8PK2l7WJ3RER9xtqwdhxkhw/edit?usp=sharing"",""อ่างทอง!J489"")"),0.0)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IFERROR(__xludf.DUMMYFUNCTION("IMPORTRANGE(""https://docs.google.com/spreadsheets/d/1SX6NBoVAgQJ6U1MVXOaj8PK2l7WJ3RER9xtqwdhxkhw/edit?usp=sharing"",""อ่างทอง!I490"")"),0.0)</f>
        <v>0</v>
      </c>
      <c r="J595" s="222">
        <f>IFERROR(__xludf.DUMMYFUNCTION("IMPORTRANGE(""https://docs.google.com/spreadsheets/d/1SX6NBoVAgQJ6U1MVXOaj8PK2l7WJ3RER9xtqwdhxkhw/edit?usp=sharing"",""อ่างทอง!J490"")"),0.0)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IFERROR(__xludf.DUMMYFUNCTION("IMPORTRANGE(""https://docs.google.com/spreadsheets/d/1SX6NBoVAgQJ6U1MVXOaj8PK2l7WJ3RER9xtqwdhxkhw/edit?usp=sharing"",""อ่างทอง!I491"")"),0.0)</f>
        <v>0</v>
      </c>
      <c r="J596" s="275">
        <f>IFERROR(__xludf.DUMMYFUNCTION("IMPORTRANGE(""https://docs.google.com/spreadsheets/d/1SX6NBoVAgQJ6U1MVXOaj8PK2l7WJ3RER9xtqwdhxkhw/edit?usp=sharing"",""อ่างทอง!J491"")"),0.0)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IFERROR(__xludf.DUMMYFUNCTION("IMPORTRANGE(""https://docs.google.com/spreadsheets/d/1SX6NBoVAgQJ6U1MVXOaj8PK2l7WJ3RER9xtqwdhxkhw/edit?usp=sharing"",""อ่างทอง!I492"")"),80.0)</f>
        <v>80</v>
      </c>
      <c r="J597" s="520">
        <f>IFERROR(__xludf.DUMMYFUNCTION("IMPORTRANGE(""https://docs.google.com/spreadsheets/d/1SX6NBoVAgQJ6U1MVXOaj8PK2l7WJ3RER9xtqwdhxkhw/edit?usp=sharing"",""อ่างทอง!J492"")"),0.0)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IFERROR(__xludf.DUMMYFUNCTION("IMPORTRANGE(""https://docs.google.com/spreadsheets/d/1SX6NBoVAgQJ6U1MVXOaj8PK2l7WJ3RER9xtqwdhxkhw/edit?usp=sharing"",""อ่างทอง!L492"")"),10800.0)</f>
        <v>10800</v>
      </c>
      <c r="M597" s="445"/>
      <c r="N597" s="445">
        <f>IFERROR(__xludf.DUMMYFUNCTION("IMPORTRANGE(""https://docs.google.com/spreadsheets/d/1SX6NBoVAgQJ6U1MVXOaj8PK2l7WJ3RER9xtqwdhxkhw/edit?usp=sharing"",""อ่างทอง!M492"")"),0.0)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IFERROR(__xludf.DUMMYFUNCTION("IMPORTRANGE(""https://docs.google.com/spreadsheets/d/1SX6NBoVAgQJ6U1MVXOaj8PK2l7WJ3RER9xtqwdhxkhw/edit?usp=sharing"",""อ่างทอง!L493"")"),0.0)</f>
        <v>0</v>
      </c>
      <c r="M598" s="197"/>
      <c r="N598" s="203">
        <f>IFERROR(__xludf.DUMMYFUNCTION("IMPORTRANGE(""https://docs.google.com/spreadsheets/d/1SX6NBoVAgQJ6U1MVXOaj8PK2l7WJ3RER9xtqwdhxkhw/edit?usp=sharing"",""อ่างทอง!M493"")"),0.0)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IFERROR(__xludf.DUMMYFUNCTION("IMPORTRANGE(""https://docs.google.com/spreadsheets/d/1SX6NBoVAgQJ6U1MVXOaj8PK2l7WJ3RER9xtqwdhxkhw/edit?usp=sharing"",""อ่างทอง!L494"")"),10800.0)</f>
        <v>10800</v>
      </c>
      <c r="M599" s="198"/>
      <c r="N599" s="203">
        <f>IFERROR(__xludf.DUMMYFUNCTION("IMPORTRANGE(""https://docs.google.com/spreadsheets/d/1SX6NBoVAgQJ6U1MVXOaj8PK2l7WJ3RER9xtqwdhxkhw/edit?usp=sharing"",""อ่างทอง!M494"")"),0.0)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IFERROR(__xludf.DUMMYFUNCTION("IMPORTRANGE(""https://docs.google.com/spreadsheets/d/1SX6NBoVAgQJ6U1MVXOaj8PK2l7WJ3RER9xtqwdhxkhw/edit?usp=sharing"",""อ่างทอง!L495"")"),0.0)</f>
        <v>0</v>
      </c>
      <c r="M600" s="203"/>
      <c r="N600" s="203">
        <f>IFERROR(__xludf.DUMMYFUNCTION("IMPORTRANGE(""https://docs.google.com/spreadsheets/d/1SX6NBoVAgQJ6U1MVXOaj8PK2l7WJ3RER9xtqwdhxkhw/edit?usp=sharing"",""อ่างทอง!M495"")"),0.0)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IFERROR(__xludf.DUMMYFUNCTION("IMPORTRANGE(""https://docs.google.com/spreadsheets/d/1SX6NBoVAgQJ6U1MVXOaj8PK2l7WJ3RER9xtqwdhxkhw/edit?usp=sharing"",""อ่างทอง!L496"")"),10800.0)</f>
        <v>10800</v>
      </c>
      <c r="M601" s="203"/>
      <c r="N601" s="203">
        <f>IFERROR(__xludf.DUMMYFUNCTION("IMPORTRANGE(""https://docs.google.com/spreadsheets/d/1SX6NBoVAgQJ6U1MVXOaj8PK2l7WJ3RER9xtqwdhxkhw/edit?usp=sharing"",""อ่างทอง!M496"")"),0.0)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IFERROR(__xludf.DUMMYFUNCTION("IMPORTRANGE(""https://docs.google.com/spreadsheets/d/1SX6NBoVAgQJ6U1MVXOaj8PK2l7WJ3RER9xtqwdhxkhw/edit?usp=sharing"",""อ่างทอง!M497"")"),0.0)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IFERROR(__xludf.DUMMYFUNCTION("IMPORTRANGE(""https://docs.google.com/spreadsheets/d/1SX6NBoVAgQJ6U1MVXOaj8PK2l7WJ3RER9xtqwdhxkhw/edit?usp=sharing"",""อ่างทอง!M498"")"),0.0)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IFERROR(__xludf.DUMMYFUNCTION("IMPORTRANGE(""https://docs.google.com/spreadsheets/d/1SX6NBoVAgQJ6U1MVXOaj8PK2l7WJ3RER9xtqwdhxkhw/edit?usp=sharing"",""อ่างทอง!M499"")"),0.0)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IFERROR(__xludf.DUMMYFUNCTION("IMPORTRANGE(""https://docs.google.com/spreadsheets/d/1SX6NBoVAgQJ6U1MVXOaj8PK2l7WJ3RER9xtqwdhxkhw/edit?usp=sharing"",""อ่างทอง!M500"")"),0.0)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IFERROR(__xludf.DUMMYFUNCTION("IMPORTRANGE(""https://docs.google.com/spreadsheets/d/1SX6NBoVAgQJ6U1MVXOaj8PK2l7WJ3RER9xtqwdhxkhw/edit?usp=sharing"",""อ่างทอง!J502"")"),0.0)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IFERROR(__xludf.DUMMYFUNCTION("IMPORTRANGE(""https://docs.google.com/spreadsheets/d/1SX6NBoVAgQJ6U1MVXOaj8PK2l7WJ3RER9xtqwdhxkhw/edit?usp=sharing"",""อ่างทอง!J503"")"),1.0)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IFERROR(__xludf.DUMMYFUNCTION("IMPORTRANGE(""https://docs.google.com/spreadsheets/d/1SX6NBoVAgQJ6U1MVXOaj8PK2l7WJ3RER9xtqwdhxkhw/edit?usp=sharing"",""อ่างทอง!J166"")"),0.0)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IFERROR(__xludf.DUMMYFUNCTION("IMPORTRANGE(""https://docs.google.com/spreadsheets/d/1SX6NBoVAgQJ6U1MVXOaj8PK2l7WJ3RER9xtqwdhxkhw/edit?usp=sharing"",""อ่างทอง!J166"")"),0.0)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IFERROR(__xludf.DUMMYFUNCTION("IMPORTRANGE(""https://docs.google.com/spreadsheets/d/1SX6NBoVAgQJ6U1MVXOaj8PK2l7WJ3RER9xtqwdhxkhw/edit?usp=sharing"",""อ่างทอง!I506"")"),80.0)</f>
        <v>80</v>
      </c>
      <c r="J611" s="195">
        <f>IFERROR(__xludf.DUMMYFUNCTION("IMPORTRANGE(""https://docs.google.com/spreadsheets/d/1SX6NBoVAgQJ6U1MVXOaj8PK2l7WJ3RER9xtqwdhxkhw/edit?usp=sharing"",""อ่างทอง!J506"")"),0.0)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IFERROR(__xludf.DUMMYFUNCTION("IMPORTRANGE(""https://docs.google.com/spreadsheets/d/1SX6NBoVAgQJ6U1MVXOaj8PK2l7WJ3RER9xtqwdhxkhw/edit?usp=sharing"",""อ่างทอง!I507"")"),0.0)</f>
        <v>0</v>
      </c>
      <c r="J612" s="232">
        <f>IFERROR(__xludf.DUMMYFUNCTION("IMPORTRANGE(""https://docs.google.com/spreadsheets/d/1SX6NBoVAgQJ6U1MVXOaj8PK2l7WJ3RER9xtqwdhxkhw/edit?usp=sharing"",""อ่างทอง!J507"")"),0.0)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IFERROR(__xludf.DUMMYFUNCTION("IMPORTRANGE(""https://docs.google.com/spreadsheets/d/1SX6NBoVAgQJ6U1MVXOaj8PK2l7WJ3RER9xtqwdhxkhw/edit?usp=sharing"",""อ่างทอง!I508"")"),0.0)</f>
        <v>0</v>
      </c>
      <c r="J613" s="232">
        <f>IFERROR(__xludf.DUMMYFUNCTION("IMPORTRANGE(""https://docs.google.com/spreadsheets/d/1SX6NBoVAgQJ6U1MVXOaj8PK2l7WJ3RER9xtqwdhxkhw/edit?usp=sharing"",""อ่างทอง!J508"")"),0.0)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IFERROR(__xludf.DUMMYFUNCTION("IMPORTRANGE(""https://docs.google.com/spreadsheets/d/1SX6NBoVAgQJ6U1MVXOaj8PK2l7WJ3RER9xtqwdhxkhw/edit?usp=sharing"",""อ่างทอง!I509"")"),0.0)</f>
        <v>0</v>
      </c>
      <c r="J614" s="232">
        <f>IFERROR(__xludf.DUMMYFUNCTION("IMPORTRANGE(""https://docs.google.com/spreadsheets/d/1SX6NBoVAgQJ6U1MVXOaj8PK2l7WJ3RER9xtqwdhxkhw/edit?usp=sharing"",""อ่างทอง!J509"")"),0.0)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IFERROR(__xludf.DUMMYFUNCTION("IMPORTRANGE(""https://docs.google.com/spreadsheets/d/1SX6NBoVAgQJ6U1MVXOaj8PK2l7WJ3RER9xtqwdhxkhw/edit?usp=sharing"",""อ่างทอง!I510"")"),0.0)</f>
        <v>0</v>
      </c>
      <c r="J615" s="232">
        <f>IFERROR(__xludf.DUMMYFUNCTION("IMPORTRANGE(""https://docs.google.com/spreadsheets/d/1SX6NBoVAgQJ6U1MVXOaj8PK2l7WJ3RER9xtqwdhxkhw/edit?usp=sharing"",""อ่างทอง!J510"")"),0.0)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IFERROR(__xludf.DUMMYFUNCTION("IMPORTRANGE(""https://docs.google.com/spreadsheets/d/1SX6NBoVAgQJ6U1MVXOaj8PK2l7WJ3RER9xtqwdhxkhw/edit?usp=sharing"",""อ่างทอง!I511"")"),0.0)</f>
        <v>0</v>
      </c>
      <c r="J616" s="232">
        <f>IFERROR(__xludf.DUMMYFUNCTION("IMPORTRANGE(""https://docs.google.com/spreadsheets/d/1SX6NBoVAgQJ6U1MVXOaj8PK2l7WJ3RER9xtqwdhxkhw/edit?usp=sharing"",""อ่างทอง!J511"")"),0.0)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IFERROR(__xludf.DUMMYFUNCTION("IMPORTRANGE(""https://docs.google.com/spreadsheets/d/1SX6NBoVAgQJ6U1MVXOaj8PK2l7WJ3RER9xtqwdhxkhw/edit?usp=sharing"",""อ่างทอง!I512"")"),0.0)</f>
        <v>0</v>
      </c>
      <c r="J617" s="222">
        <f>IFERROR(__xludf.DUMMYFUNCTION("IMPORTRANGE(""https://docs.google.com/spreadsheets/d/1SX6NBoVAgQJ6U1MVXOaj8PK2l7WJ3RER9xtqwdhxkhw/edit?usp=sharing"",""อ่างทอง!J512"")"),0.0)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IFERROR(__xludf.DUMMYFUNCTION("IMPORTRANGE(""https://docs.google.com/spreadsheets/d/1SX6NBoVAgQJ6U1MVXOaj8PK2l7WJ3RER9xtqwdhxkhw/edit?usp=sharing"",""อ่างทอง!I513"")"),0.0)</f>
        <v>0</v>
      </c>
      <c r="J618" s="223">
        <f>IFERROR(__xludf.DUMMYFUNCTION("IMPORTRANGE(""https://docs.google.com/spreadsheets/d/1SX6NBoVAgQJ6U1MVXOaj8PK2l7WJ3RER9xtqwdhxkhw/edit?usp=sharing"",""อ่างทอง!J513"")"),0.0)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IFERROR(__xludf.DUMMYFUNCTION("IMPORTRANGE(""https://docs.google.com/spreadsheets/d/1SX6NBoVAgQJ6U1MVXOaj8PK2l7WJ3RER9xtqwdhxkhw/edit?usp=sharing"",""อ่างทอง!I514"")"),0.0)</f>
        <v>0</v>
      </c>
      <c r="J619" s="223">
        <f>IFERROR(__xludf.DUMMYFUNCTION("IMPORTRANGE(""https://docs.google.com/spreadsheets/d/1SX6NBoVAgQJ6U1MVXOaj8PK2l7WJ3RER9xtqwdhxkhw/edit?usp=sharing"",""อ่างทอง!J514"")"),0.0)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IFERROR(__xludf.DUMMYFUNCTION("IMPORTRANGE(""https://docs.google.com/spreadsheets/d/1SX6NBoVAgQJ6U1MVXOaj8PK2l7WJ3RER9xtqwdhxkhw/edit?usp=sharing"",""อ่างทอง!I515"")"),293.0)</f>
        <v>293</v>
      </c>
      <c r="J620" s="237">
        <f>IFERROR(__xludf.DUMMYFUNCTION("IMPORTRANGE(""https://docs.google.com/spreadsheets/d/1SX6NBoVAgQJ6U1MVXOaj8PK2l7WJ3RER9xtqwdhxkhw/edit?usp=sharing"",""อ่างทอง!J515"")"),0.0)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IFERROR(__xludf.DUMMYFUNCTION("IMPORTRANGE(""https://docs.google.com/spreadsheets/d/1SX6NBoVAgQJ6U1MVXOaj8PK2l7WJ3RER9xtqwdhxkhw/edit?usp=sharing"",""อ่างทอง!I516"")"),0.0)</f>
        <v>0</v>
      </c>
      <c r="J621" s="237">
        <f>IFERROR(__xludf.DUMMYFUNCTION("IMPORTRANGE(""https://docs.google.com/spreadsheets/d/1SX6NBoVAgQJ6U1MVXOaj8PK2l7WJ3RER9xtqwdhxkhw/edit?usp=sharing"",""อ่างทอง!J516"")"),0.0)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IFERROR(__xludf.DUMMYFUNCTION("IMPORTRANGE(""https://docs.google.com/spreadsheets/d/1SX6NBoVAgQJ6U1MVXOaj8PK2l7WJ3RER9xtqwdhxkhw/edit?usp=sharing"",""อ่างทอง!I517"")"),0.0)</f>
        <v>0</v>
      </c>
      <c r="J622" s="223">
        <f>IFERROR(__xludf.DUMMYFUNCTION("IMPORTRANGE(""https://docs.google.com/spreadsheets/d/1SX6NBoVAgQJ6U1MVXOaj8PK2l7WJ3RER9xtqwdhxkhw/edit?usp=sharing"",""อ่างทอง!J517"")"),0.0)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IFERROR(__xludf.DUMMYFUNCTION("IMPORTRANGE(""https://docs.google.com/spreadsheets/d/1SX6NBoVAgQJ6U1MVXOaj8PK2l7WJ3RER9xtqwdhxkhw/edit?usp=sharing"",""อ่างทอง!I518"")"),0.0)</f>
        <v>0</v>
      </c>
      <c r="J623" s="223">
        <f>IFERROR(__xludf.DUMMYFUNCTION("IMPORTRANGE(""https://docs.google.com/spreadsheets/d/1SX6NBoVAgQJ6U1MVXOaj8PK2l7WJ3RER9xtqwdhxkhw/edit?usp=sharing"",""อ่างทอง!J518"")"),0.0)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IFERROR(__xludf.DUMMYFUNCTION("IMPORTRANGE(""https://docs.google.com/spreadsheets/d/1SX6NBoVAgQJ6U1MVXOaj8PK2l7WJ3RER9xtqwdhxkhw/edit?usp=sharing"",""อ่างทอง!I519"")"),0.0)</f>
        <v>0</v>
      </c>
      <c r="J624" s="222">
        <f>IFERROR(__xludf.DUMMYFUNCTION("IMPORTRANGE(""https://docs.google.com/spreadsheets/d/1SX6NBoVAgQJ6U1MVXOaj8PK2l7WJ3RER9xtqwdhxkhw/edit?usp=sharing"",""อ่างทอง!J519"")"),0.0)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IFERROR(__xludf.DUMMYFUNCTION("IMPORTRANGE(""https://docs.google.com/spreadsheets/d/1SX6NBoVAgQJ6U1MVXOaj8PK2l7WJ3RER9xtqwdhxkhw/edit?usp=sharing"",""อ่างทอง!I520"")"),0.0)</f>
        <v>0</v>
      </c>
      <c r="J625" s="223">
        <f>IFERROR(__xludf.DUMMYFUNCTION("IMPORTRANGE(""https://docs.google.com/spreadsheets/d/1SX6NBoVAgQJ6U1MVXOaj8PK2l7WJ3RER9xtqwdhxkhw/edit?usp=sharing"",""อ่างทอง!J520"")"),0.0)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IFERROR(__xludf.DUMMYFUNCTION("IMPORTRANGE(""https://docs.google.com/spreadsheets/d/1SX6NBoVAgQJ6U1MVXOaj8PK2l7WJ3RER9xtqwdhxkhw/edit?usp=sharing"",""อ่างทอง!I521"")"),0.0)</f>
        <v>0</v>
      </c>
      <c r="J626" s="223">
        <f>IFERROR(__xludf.DUMMYFUNCTION("IMPORTRANGE(""https://docs.google.com/spreadsheets/d/1SX6NBoVAgQJ6U1MVXOaj8PK2l7WJ3RER9xtqwdhxkhw/edit?usp=sharing"",""อ่างทอง!J521"")"),0.0)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IFERROR(__xludf.DUMMYFUNCTION("IMPORTRANGE(""https://docs.google.com/spreadsheets/d/1SX6NBoVAgQJ6U1MVXOaj8PK2l7WJ3RER9xtqwdhxkhw/edit?usp=sharing"",""อ่างทอง!I523"")"),510000.0)</f>
        <v>510000</v>
      </c>
      <c r="J628" s="374">
        <f>IFERROR(__xludf.DUMMYFUNCTION("IMPORTRANGE(""https://docs.google.com/spreadsheets/d/1SX6NBoVAgQJ6U1MVXOaj8PK2l7WJ3RER9xtqwdhxkhw/edit?usp=sharing"",""อ่างทอง!J523"")"),30000.0)</f>
        <v>30000</v>
      </c>
      <c r="K628" s="375">
        <f t="shared" ref="K628:K635" si="130">IF(I628&gt;0,J628*100/I628,0)</f>
        <v>5.882352941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IFERROR(__xludf.DUMMYFUNCTION("IMPORTRANGE(""https://docs.google.com/spreadsheets/d/1SX6NBoVAgQJ6U1MVXOaj8PK2l7WJ3RER9xtqwdhxkhw/edit?usp=sharing"",""อ่างทอง!I524"")"),18.0)</f>
        <v>18</v>
      </c>
      <c r="J629" s="374">
        <f>IFERROR(__xludf.DUMMYFUNCTION("IMPORTRANGE(""https://docs.google.com/spreadsheets/d/1SX6NBoVAgQJ6U1MVXOaj8PK2l7WJ3RER9xtqwdhxkhw/edit?usp=sharing"",""อ่างทอง!J524"")"),1.0)</f>
        <v>1</v>
      </c>
      <c r="K629" s="375">
        <f t="shared" si="130"/>
        <v>5.555555556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IFERROR(__xludf.DUMMYFUNCTION("IMPORTRANGE(""https://docs.google.com/spreadsheets/d/1SX6NBoVAgQJ6U1MVXOaj8PK2l7WJ3RER9xtqwdhxkhw/edit?usp=sharing"",""อ่างทอง!I525"")"),169583.93)</f>
        <v>169583.93</v>
      </c>
      <c r="J630" s="374">
        <f>IFERROR(__xludf.DUMMYFUNCTION("IMPORTRANGE(""https://docs.google.com/spreadsheets/d/1SX6NBoVAgQJ6U1MVXOaj8PK2l7WJ3RER9xtqwdhxkhw/edit?usp=sharing"",""อ่างทอง!J525"")"),85300.71)</f>
        <v>85300.71</v>
      </c>
      <c r="K630" s="375">
        <f t="shared" si="130"/>
        <v>50.299996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IFERROR(__xludf.DUMMYFUNCTION("IMPORTRANGE(""https://docs.google.com/spreadsheets/d/1SX6NBoVAgQJ6U1MVXOaj8PK2l7WJ3RER9xtqwdhxkhw/edit?usp=sharing"",""อ่างทอง!I526"")"),6.0)</f>
        <v>6</v>
      </c>
      <c r="J631" s="374">
        <f>IFERROR(__xludf.DUMMYFUNCTION("IMPORTRANGE(""https://docs.google.com/spreadsheets/d/1SX6NBoVAgQJ6U1MVXOaj8PK2l7WJ3RER9xtqwdhxkhw/edit?usp=sharing"",""อ่างทอง!J526"")"),6.0)</f>
        <v>6</v>
      </c>
      <c r="K631" s="375">
        <f t="shared" si="130"/>
        <v>100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IFERROR(__xludf.DUMMYFUNCTION("IMPORTRANGE(""https://docs.google.com/spreadsheets/d/1SX6NBoVAgQJ6U1MVXOaj8PK2l7WJ3RER9xtqwdhxkhw/edit?usp=sharing"",""อ่างทอง!I527"")"),39445.31)</f>
        <v>39445.31</v>
      </c>
      <c r="J632" s="374">
        <f>IFERROR(__xludf.DUMMYFUNCTION("IMPORTRANGE(""https://docs.google.com/spreadsheets/d/1SX6NBoVAgQJ6U1MVXOaj8PK2l7WJ3RER9xtqwdhxkhw/edit?usp=sharing"",""อ่างทอง!J527"")"),10495.52)</f>
        <v>10495.52</v>
      </c>
      <c r="K632" s="375">
        <f t="shared" si="130"/>
        <v>26.60777669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IFERROR(__xludf.DUMMYFUNCTION("IMPORTRANGE(""https://docs.google.com/spreadsheets/d/1SX6NBoVAgQJ6U1MVXOaj8PK2l7WJ3RER9xtqwdhxkhw/edit?usp=sharing"",""อ่างทอง!I528"")"),52.0)</f>
        <v>52</v>
      </c>
      <c r="J633" s="374">
        <f>IFERROR(__xludf.DUMMYFUNCTION("IMPORTRANGE(""https://docs.google.com/spreadsheets/d/1SX6NBoVAgQJ6U1MVXOaj8PK2l7WJ3RER9xtqwdhxkhw/edit?usp=sharing"",""อ่างทอง!J528"")"),15.0)</f>
        <v>15</v>
      </c>
      <c r="K633" s="375">
        <f t="shared" si="130"/>
        <v>28.84615385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IFERROR(__xludf.DUMMYFUNCTION("IMPORTRANGE(""https://docs.google.com/spreadsheets/d/1SX6NBoVAgQJ6U1MVXOaj8PK2l7WJ3RER9xtqwdhxkhw/edit?usp=sharing"",""อ่างทอง!I529"")"),900000.0)</f>
        <v>900000</v>
      </c>
      <c r="J634" s="374">
        <f>IFERROR(__xludf.DUMMYFUNCTION("IMPORTRANGE(""https://docs.google.com/spreadsheets/d/1SX6NBoVAgQJ6U1MVXOaj8PK2l7WJ3RER9xtqwdhxkhw/edit?usp=sharing"",""อ่างทอง!J529"")"),0.0)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IFERROR(__xludf.DUMMYFUNCTION("IMPORTRANGE(""https://docs.google.com/spreadsheets/d/1SX6NBoVAgQJ6U1MVXOaj8PK2l7WJ3RER9xtqwdhxkhw/edit?usp=sharing"",""อ่างทอง!I530"")"),30.0)</f>
        <v>30</v>
      </c>
      <c r="J635" s="544">
        <f>IFERROR(__xludf.DUMMYFUNCTION("IMPORTRANGE(""https://docs.google.com/spreadsheets/d/1SX6NBoVAgQJ6U1MVXOaj8PK2l7WJ3RER9xtqwdhxkhw/edit?usp=sharing"",""อ่างทอง!J530"")"),0.0)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241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4124768</v>
      </c>
      <c r="M8" s="41">
        <f t="shared" si="1"/>
        <v>1521745</v>
      </c>
      <c r="N8" s="41">
        <f t="shared" si="1"/>
        <v>1021191</v>
      </c>
      <c r="O8" s="40">
        <f t="shared" ref="O8:O16" si="3">IF(L8&gt;0,N8*100/L8,0)</f>
        <v>24.75753788</v>
      </c>
      <c r="P8" s="40">
        <f t="shared" ref="P8:P16" si="4">IF(M8&gt;0,N8*100/M8,0)</f>
        <v>67.1065783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4124768</v>
      </c>
      <c r="M10" s="48">
        <f t="shared" si="5"/>
        <v>1521745</v>
      </c>
      <c r="N10" s="48">
        <f t="shared" si="5"/>
        <v>1021191</v>
      </c>
      <c r="O10" s="47">
        <f t="shared" si="3"/>
        <v>24.75753788</v>
      </c>
      <c r="P10" s="47">
        <f t="shared" si="4"/>
        <v>67.1065783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3832668</v>
      </c>
      <c r="M12" s="58">
        <f t="shared" si="7"/>
        <v>1521745</v>
      </c>
      <c r="N12" s="58">
        <f t="shared" si="7"/>
        <v>731091</v>
      </c>
      <c r="O12" s="58">
        <f t="shared" si="3"/>
        <v>19.07524993</v>
      </c>
      <c r="P12" s="58">
        <f t="shared" si="4"/>
        <v>48.04293755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1494300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2338368</v>
      </c>
      <c r="M14" s="58">
        <f t="shared" si="9"/>
        <v>0</v>
      </c>
      <c r="N14" s="58">
        <f t="shared" si="9"/>
        <v>73965</v>
      </c>
      <c r="O14" s="61">
        <f t="shared" si="3"/>
        <v>3.163103498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292100</v>
      </c>
      <c r="M16" s="58">
        <f t="shared" si="11"/>
        <v>0</v>
      </c>
      <c r="N16" s="58">
        <f t="shared" si="11"/>
        <v>290100</v>
      </c>
      <c r="O16" s="70">
        <f t="shared" si="3"/>
        <v>99.31530298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3097545</v>
      </c>
      <c r="M18" s="41">
        <f t="shared" si="12"/>
        <v>1521745</v>
      </c>
      <c r="N18" s="41">
        <f t="shared" si="12"/>
        <v>947226</v>
      </c>
      <c r="O18" s="40">
        <f t="shared" ref="O18:O20" si="14">IF(L18&gt;0,N18*100/L18,0)</f>
        <v>30.57989472</v>
      </c>
      <c r="P18" s="40">
        <f t="shared" ref="P18:P26" si="15">IF(M18&gt;0,N18*100/M18,0)</f>
        <v>62.24603991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3097545</v>
      </c>
      <c r="M20" s="48">
        <f t="shared" si="16"/>
        <v>1521745</v>
      </c>
      <c r="N20" s="48">
        <f t="shared" si="16"/>
        <v>947226</v>
      </c>
      <c r="O20" s="47">
        <f t="shared" si="14"/>
        <v>30.57989472</v>
      </c>
      <c r="P20" s="47">
        <f t="shared" si="15"/>
        <v>62.24603991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2805445</v>
      </c>
      <c r="M22" s="62">
        <f t="shared" si="18"/>
        <v>1521745</v>
      </c>
      <c r="N22" s="61">
        <f t="shared" si="18"/>
        <v>657126</v>
      </c>
      <c r="O22" s="61">
        <f t="shared" si="19"/>
        <v>23.42323589</v>
      </c>
      <c r="P22" s="61">
        <f t="shared" si="15"/>
        <v>43.18239915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1494300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1311145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292100</v>
      </c>
      <c r="M26" s="70">
        <f t="shared" si="23"/>
        <v>0</v>
      </c>
      <c r="N26" s="70">
        <f t="shared" si="23"/>
        <v>290100</v>
      </c>
      <c r="O26" s="70">
        <f t="shared" si="19"/>
        <v>99.31530298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1027223</v>
      </c>
      <c r="M28" s="41">
        <f t="shared" si="24"/>
        <v>0</v>
      </c>
      <c r="N28" s="41">
        <f t="shared" si="24"/>
        <v>73965</v>
      </c>
      <c r="O28" s="40">
        <f t="shared" ref="O28:O30" si="26">IF(L28&gt;0,N28*100/L28,0)</f>
        <v>7.200481298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1027223</v>
      </c>
      <c r="M30" s="48">
        <f t="shared" si="28"/>
        <v>0</v>
      </c>
      <c r="N30" s="48">
        <f t="shared" si="28"/>
        <v>73965</v>
      </c>
      <c r="O30" s="47">
        <f t="shared" si="26"/>
        <v>7.200481298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1027223</v>
      </c>
      <c r="M32" s="61">
        <f t="shared" si="30"/>
        <v>0</v>
      </c>
      <c r="N32" s="61">
        <f t="shared" si="30"/>
        <v>73965</v>
      </c>
      <c r="O32" s="61">
        <f t="shared" si="31"/>
        <v>7.200481298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1027223</v>
      </c>
      <c r="M34" s="61">
        <f t="shared" si="33"/>
        <v>0</v>
      </c>
      <c r="N34" s="61">
        <f t="shared" si="33"/>
        <v>73965</v>
      </c>
      <c r="O34" s="61">
        <f t="shared" si="31"/>
        <v>7.200481298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3097545</v>
      </c>
      <c r="M37" s="75">
        <f t="shared" si="34"/>
        <v>1521745</v>
      </c>
      <c r="N37" s="75">
        <f t="shared" si="34"/>
        <v>947226</v>
      </c>
      <c r="O37" s="76">
        <f t="shared" si="31"/>
        <v>30.57989472</v>
      </c>
      <c r="P37" s="76">
        <f t="shared" si="27"/>
        <v>62.24603991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614100</v>
      </c>
      <c r="M41" s="102">
        <f t="shared" si="35"/>
        <v>307100</v>
      </c>
      <c r="N41" s="102">
        <f t="shared" si="35"/>
        <v>166060</v>
      </c>
      <c r="O41" s="101">
        <f t="shared" ref="O41:O43" si="37">IF(L41&gt;0,N41*100/L41,0)</f>
        <v>27.0411985</v>
      </c>
      <c r="P41" s="101">
        <f t="shared" ref="P41:P43" si="38">IF(M41&gt;0,N41*100/M41,0)</f>
        <v>54.07359166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614100</v>
      </c>
      <c r="M43" s="102">
        <f t="shared" si="39"/>
        <v>307100</v>
      </c>
      <c r="N43" s="102">
        <f t="shared" si="39"/>
        <v>166060</v>
      </c>
      <c r="O43" s="101">
        <f t="shared" si="37"/>
        <v>27.0411985</v>
      </c>
      <c r="P43" s="101">
        <f t="shared" si="38"/>
        <v>54.07359166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614100</v>
      </c>
      <c r="M45" s="115">
        <f>IFERROR(__xludf.DUMMYFUNCTION("IMPORTRANGE(""https://docs.google.com/spreadsheets/d/1Yj_ptqi66GCucihVvJfMjLAmec39IyEx_6qawtMGysU/edit?usp=sharing"",""สบก!Q60"")"),307100.0)</f>
        <v>307100</v>
      </c>
      <c r="N45" s="115">
        <f>IFERROR(__xludf.DUMMYFUNCTION("IMPORTRANGE(""https://docs.google.com/spreadsheets/d/1Yj_ptqi66GCucihVvJfMjLAmec39IyEx_6qawtMGysU/edit?usp=sharing"",""สบก!R60"")"),166060.0)</f>
        <v>166060</v>
      </c>
      <c r="O45" s="116">
        <f>IF(L45&gt;0,N45*100/L45,0)</f>
        <v>27.0411985</v>
      </c>
      <c r="P45" s="116">
        <f>IF(M45&gt;0,N45*100/M45,0)</f>
        <v>54.07359166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IFERROR(__xludf.DUMMYFUNCTION("IMPORTRANGE(""https://docs.google.com/spreadsheets/d/1Yj_ptqi66GCucihVvJfMjLAmec39IyEx_6qawtMGysU/edit?usp=sharing"",""สบก!M60"")"),614100.0)</f>
        <v>614100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IFERROR(__xludf.DUMMYFUNCTION("IMPORTRANGE(""https://docs.google.com/spreadsheets/d/1Yj_ptqi66GCucihVvJfMjLAmec39IyEx_6qawtMGysU/edit?usp=sharing"",""สบก!N60"")"),0.0)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IFERROR(__xludf.DUMMYFUNCTION("IMPORTRANGE(""https://docs.google.com/spreadsheets/d/1Yj_ptqi66GCucihVvJfMjLAmec39IyEx_6qawtMGysU/edit?usp=sharing"",""สบก!O60"")"),0.0)</f>
        <v>0</v>
      </c>
      <c r="M49" s="125"/>
      <c r="N49" s="115">
        <f>IFERROR(__xludf.DUMMYFUNCTION("IMPORTRANGE(""https://docs.google.com/spreadsheets/d/1Yj_ptqi66GCucihVvJfMjLAmec39IyEx_6qawtMGysU/edit?usp=sharing"",""สบก!S60"")"),0.0)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267000</v>
      </c>
      <c r="M53" s="151">
        <f t="shared" si="40"/>
        <v>138000</v>
      </c>
      <c r="N53" s="151">
        <f t="shared" si="40"/>
        <v>94739</v>
      </c>
      <c r="O53" s="150">
        <f t="shared" ref="O53:O55" si="42">IF(L53&gt;0,N53*100/L53,0)</f>
        <v>35.48277154</v>
      </c>
      <c r="P53" s="150">
        <f t="shared" ref="P53:P55" si="43">IF(M53&gt;0,N53*100/M53,0)</f>
        <v>68.65144928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267000</v>
      </c>
      <c r="M55" s="151">
        <f t="shared" si="44"/>
        <v>138000</v>
      </c>
      <c r="N55" s="151">
        <f t="shared" si="44"/>
        <v>94739</v>
      </c>
      <c r="O55" s="150">
        <f t="shared" si="42"/>
        <v>35.48277154</v>
      </c>
      <c r="P55" s="150">
        <f t="shared" si="43"/>
        <v>68.65144928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267000</v>
      </c>
      <c r="M57" s="115">
        <f>IFERROR(__xludf.DUMMYFUNCTION("IMPORTRANGE(""https://docs.google.com/spreadsheets/d/1Yj_ptqi66GCucihVvJfMjLAmec39IyEx_6qawtMGysU/edit?usp=sharing"",""สบก!Z60"")"),138000.0)</f>
        <v>138000</v>
      </c>
      <c r="N57" s="115">
        <f>IFERROR(__xludf.DUMMYFUNCTION("IMPORTRANGE(""https://docs.google.com/spreadsheets/d/1Yj_ptqi66GCucihVvJfMjLAmec39IyEx_6qawtMGysU/edit?usp=sharing"",""สบก!AA60"")"),94739.0)</f>
        <v>94739</v>
      </c>
      <c r="O57" s="116">
        <f>IF(L57&gt;0,N57*100/L57,0)</f>
        <v>35.48277154</v>
      </c>
      <c r="P57" s="116">
        <f>IF(M57&gt;0,N57*100/M57,0)</f>
        <v>68.65144928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IFERROR(__xludf.DUMMYFUNCTION("IMPORTRANGE(""https://docs.google.com/spreadsheets/d/1Yj_ptqi66GCucihVvJfMjLAmec39IyEx_6qawtMGysU/edit?usp=sharing"",""สบก!V60"")"),267000.0)</f>
        <v>267000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IFERROR(__xludf.DUMMYFUNCTION("IMPORTRANGE(""https://docs.google.com/spreadsheets/d/1Yj_ptqi66GCucihVvJfMjLAmec39IyEx_6qawtMGysU/edit?usp=sharing"",""สบก!W60"")"),0.0)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IFERROR(__xludf.DUMMYFUNCTION("IMPORTRANGE(""https://docs.google.com/spreadsheets/d/1Yj_ptqi66GCucihVvJfMjLAmec39IyEx_6qawtMGysU/edit?usp=sharing"",""สบก!X60"")"),0.0)</f>
        <v>0</v>
      </c>
      <c r="M61" s="125"/>
      <c r="N61" s="115">
        <f>IFERROR(__xludf.DUMMYFUNCTION("IMPORTRANGE(""https://docs.google.com/spreadsheets/d/1Yj_ptqi66GCucihVvJfMjLAmec39IyEx_6qawtMGysU/edit?usp=sharing"",""สบก!AB60"")"),0.0)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IFERROR(__xludf.DUMMYFUNCTION("IMPORTRANGE(""https://docs.google.com/spreadsheets/d/1SX6NBoVAgQJ6U1MVXOaj8PK2l7WJ3RER9xtqwdhxkhw/edit?usp=sharing"",""จันทบุรี!I9"")"),1.0)</f>
        <v>1</v>
      </c>
      <c r="J64" s="172">
        <f>IFERROR(__xludf.DUMMYFUNCTION("IMPORTRANGE(""https://docs.google.com/spreadsheets/d/1SX6NBoVAgQJ6U1MVXOaj8PK2l7WJ3RER9xtqwdhxkhw/edit?usp=sharing"",""จันทบุรี!J9"")"),0.0)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IFERROR(__xludf.DUMMYFUNCTION("IMPORTRANGE(""https://docs.google.com/spreadsheets/d/1SX6NBoVAgQJ6U1MVXOaj8PK2l7WJ3RER9xtqwdhxkhw/edit?usp=sharing"",""จันทบุรี!I10"")"),60.0)</f>
        <v>60</v>
      </c>
      <c r="J65" s="172">
        <f>IFERROR(__xludf.DUMMYFUNCTION("IMPORTRANGE(""https://docs.google.com/spreadsheets/d/1SX6NBoVAgQJ6U1MVXOaj8PK2l7WJ3RER9xtqwdhxkhw/edit?usp=sharing"",""จันทบุรี!J10"")"),0.0)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1005300</v>
      </c>
      <c r="M66" s="183">
        <f t="shared" si="46"/>
        <v>393220</v>
      </c>
      <c r="N66" s="183">
        <f t="shared" si="46"/>
        <v>398130</v>
      </c>
      <c r="O66" s="182">
        <f t="shared" ref="O66:O68" si="48">IF(L66&gt;0,N66*100/L66,0)</f>
        <v>39.60310355</v>
      </c>
      <c r="P66" s="182">
        <f t="shared" ref="P66:P68" si="49">IF(M66&gt;0,N66*100/M66,0)</f>
        <v>101.2486649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1005300</v>
      </c>
      <c r="M68" s="188">
        <f t="shared" si="50"/>
        <v>393220</v>
      </c>
      <c r="N68" s="188">
        <f t="shared" si="50"/>
        <v>398130</v>
      </c>
      <c r="O68" s="187">
        <f t="shared" si="48"/>
        <v>39.60310355</v>
      </c>
      <c r="P68" s="187">
        <f t="shared" si="49"/>
        <v>101.2486649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713200</v>
      </c>
      <c r="M70" s="201">
        <f>IFERROR(__xludf.DUMMYFUNCTION("IMPORTRANGE(""https://docs.google.com/spreadsheets/d/1Yj_ptqi66GCucihVvJfMjLAmec39IyEx_6qawtMGysU/edit?usp=sharing"",""สบก!AI60"")"),393220.0)</f>
        <v>393220</v>
      </c>
      <c r="N70" s="202">
        <f>IFERROR(__xludf.DUMMYFUNCTION("IMPORTRANGE(""https://docs.google.com/spreadsheets/d/1Yj_ptqi66GCucihVvJfMjLAmec39IyEx_6qawtMGysU/edit?usp=sharing"",""สบก!AJ60"")"),108030.0)</f>
        <v>108030</v>
      </c>
      <c r="O70" s="203">
        <f>IF(L70&gt;0,N70*100/L70,0)</f>
        <v>15.14722378</v>
      </c>
      <c r="P70" s="203">
        <f>IF(M70&gt;0,N70*100/M70,0)</f>
        <v>27.47317024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IFERROR(__xludf.DUMMYFUNCTION("IMPORTRANGE(""https://docs.google.com/spreadsheets/d/1Yj_ptqi66GCucihVvJfMjLAmec39IyEx_6qawtMGysU/edit?usp=sharing"",""สบก!AE60"")"),175200.0)</f>
        <v>175200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IFERROR(__xludf.DUMMYFUNCTION("IMPORTRANGE(""https://docs.google.com/spreadsheets/d/1Yj_ptqi66GCucihVvJfMjLAmec39IyEx_6qawtMGysU/edit?usp=sharing"",""สบก!AF60"")"),538000.0)</f>
        <v>538000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IFERROR(__xludf.DUMMYFUNCTION("IMPORTRANGE(""https://docs.google.com/spreadsheets/d/1Yj_ptqi66GCucihVvJfMjLAmec39IyEx_6qawtMGysU/edit?usp=sharing"",""สบก!AG60"")"),292100.0)</f>
        <v>292100</v>
      </c>
      <c r="M74" s="125"/>
      <c r="N74" s="115">
        <f>IFERROR(__xludf.DUMMYFUNCTION("IMPORTRANGE(""https://docs.google.com/spreadsheets/d/1Yj_ptqi66GCucihVvJfMjLAmec39IyEx_6qawtMGysU/edit?usp=sharing"",""สบก!AK60"")"),290100.0)</f>
        <v>290100</v>
      </c>
      <c r="O74" s="125">
        <f>IF(L74&gt;0,N74*100/L74,0)</f>
        <v>99.31530298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IFERROR(__xludf.DUMMYFUNCTION("IMPORTRANGE(""https://docs.google.com/spreadsheets/d/1SX6NBoVAgQJ6U1MVXOaj8PK2l7WJ3RER9xtqwdhxkhw/edit?usp=sharing"",""จันทบุรี!J16"")"),0.0)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IFERROR(__xludf.DUMMYFUNCTION("IMPORTRANGE(""https://docs.google.com/spreadsheets/d/1SX6NBoVAgQJ6U1MVXOaj8PK2l7WJ3RER9xtqwdhxkhw/edit?usp=sharing"",""จันทบุรี!J17"")"),1.0)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IFERROR(__xludf.DUMMYFUNCTION("IMPORTRANGE(""https://docs.google.com/spreadsheets/d/1SX6NBoVAgQJ6U1MVXOaj8PK2l7WJ3RER9xtqwdhxkhw/edit?usp=sharing"",""จันทบุรี!J18"")"),1.0)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IFERROR(__xludf.DUMMYFUNCTION("IMPORTRANGE(""https://docs.google.com/spreadsheets/d/1SX6NBoVAgQJ6U1MVXOaj8PK2l7WJ3RER9xtqwdhxkhw/edit?usp=sharing"",""จันทบุรี!J19"")"),1.0)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IFERROR(__xludf.DUMMYFUNCTION("IMPORTRANGE(""https://docs.google.com/spreadsheets/d/1SX6NBoVAgQJ6U1MVXOaj8PK2l7WJ3RER9xtqwdhxkhw/edit?usp=sharing"",""จันทบุรี!I20"")"),1.0)</f>
        <v>1</v>
      </c>
      <c r="J80" s="235">
        <f>IFERROR(__xludf.DUMMYFUNCTION("IMPORTRANGE(""https://docs.google.com/spreadsheets/d/1SX6NBoVAgQJ6U1MVXOaj8PK2l7WJ3RER9xtqwdhxkhw/edit?usp=sharing"",""จันทบุรี!J20"")"),0.0)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IFERROR(__xludf.DUMMYFUNCTION("IMPORTRANGE(""https://docs.google.com/spreadsheets/d/1SX6NBoVAgQJ6U1MVXOaj8PK2l7WJ3RER9xtqwdhxkhw/edit?usp=sharing"",""จันทบุรี!I21"")"),60.0)</f>
        <v>60</v>
      </c>
      <c r="J81" s="235">
        <f>IFERROR(__xludf.DUMMYFUNCTION("IMPORTRANGE(""https://docs.google.com/spreadsheets/d/1SX6NBoVAgQJ6U1MVXOaj8PK2l7WJ3RER9xtqwdhxkhw/edit?usp=sharing"",""จันทบุรี!J21"")"),0.0)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IFERROR(__xludf.DUMMYFUNCTION("IMPORTRANGE(""https://docs.google.com/spreadsheets/d/1SX6NBoVAgQJ6U1MVXOaj8PK2l7WJ3RER9xtqwdhxkhw/edit?usp=sharing"",""จันทบุรี!I22"")"),0.0)</f>
        <v>0</v>
      </c>
      <c r="J82" s="238">
        <f>IFERROR(__xludf.DUMMYFUNCTION("IMPORTRANGE(""https://docs.google.com/spreadsheets/d/1SX6NBoVAgQJ6U1MVXOaj8PK2l7WJ3RER9xtqwdhxkhw/edit?usp=sharing"",""จันทบุรี!J22"")"),0.0)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IFERROR(__xludf.DUMMYFUNCTION("IMPORTRANGE(""https://docs.google.com/spreadsheets/d/1SX6NBoVAgQJ6U1MVXOaj8PK2l7WJ3RER9xtqwdhxkhw/edit?usp=sharing"",""จันทบุรี!I23"")"),0.0)</f>
        <v>0</v>
      </c>
      <c r="J83" s="238">
        <f>IFERROR(__xludf.DUMMYFUNCTION("IMPORTRANGE(""https://docs.google.com/spreadsheets/d/1SX6NBoVAgQJ6U1MVXOaj8PK2l7WJ3RER9xtqwdhxkhw/edit?usp=sharing"",""จันทบุรี!J23"")"),0.0)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IFERROR(__xludf.DUMMYFUNCTION("IMPORTRANGE(""https://docs.google.com/spreadsheets/d/1SX6NBoVAgQJ6U1MVXOaj8PK2l7WJ3RER9xtqwdhxkhw/edit?usp=sharing"",""จันทบุรี!I24"")"),0.0)</f>
        <v>0</v>
      </c>
      <c r="J84" s="223">
        <f>IFERROR(__xludf.DUMMYFUNCTION("IMPORTRANGE(""https://docs.google.com/spreadsheets/d/1SX6NBoVAgQJ6U1MVXOaj8PK2l7WJ3RER9xtqwdhxkhw/edit?usp=sharing"",""จันทบุรี!J24"")"),0.0)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IFERROR(__xludf.DUMMYFUNCTION("IMPORTRANGE(""https://docs.google.com/spreadsheets/d/1SX6NBoVAgQJ6U1MVXOaj8PK2l7WJ3RER9xtqwdhxkhw/edit?usp=sharing"",""จันทบุรี!I25"")"),0.0)</f>
        <v>0</v>
      </c>
      <c r="J85" s="223">
        <f>IFERROR(__xludf.DUMMYFUNCTION("IMPORTRANGE(""https://docs.google.com/spreadsheets/d/1SX6NBoVAgQJ6U1MVXOaj8PK2l7WJ3RER9xtqwdhxkhw/edit?usp=sharing"",""จันทบุรี!J25"")"),0.0)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IFERROR(__xludf.DUMMYFUNCTION("IMPORTRANGE(""https://docs.google.com/spreadsheets/d/1SX6NBoVAgQJ6U1MVXOaj8PK2l7WJ3RER9xtqwdhxkhw/edit?usp=sharing"",""จันทบุรี!I26"")"),1.0)</f>
        <v>1</v>
      </c>
      <c r="J86" s="238">
        <f>IFERROR(__xludf.DUMMYFUNCTION("IMPORTRANGE(""https://docs.google.com/spreadsheets/d/1SX6NBoVAgQJ6U1MVXOaj8PK2l7WJ3RER9xtqwdhxkhw/edit?usp=sharing"",""จันทบุรี!J26"")"),0.0)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IFERROR(__xludf.DUMMYFUNCTION("IMPORTRANGE(""https://docs.google.com/spreadsheets/d/1SX6NBoVAgQJ6U1MVXOaj8PK2l7WJ3RER9xtqwdhxkhw/edit?usp=sharing"",""จันทบุรี!I27"")"),60.0)</f>
        <v>60</v>
      </c>
      <c r="J87" s="238">
        <f>IFERROR(__xludf.DUMMYFUNCTION("IMPORTRANGE(""https://docs.google.com/spreadsheets/d/1SX6NBoVAgQJ6U1MVXOaj8PK2l7WJ3RER9xtqwdhxkhw/edit?usp=sharing"",""จันทบุรี!J27"")"),0.0)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IFERROR(__xludf.DUMMYFUNCTION("IMPORTRANGE(""https://docs.google.com/spreadsheets/d/1SX6NBoVAgQJ6U1MVXOaj8PK2l7WJ3RER9xtqwdhxkhw/edit?usp=sharing"",""จันทบุรี!I28"")"),0.0)</f>
        <v>0</v>
      </c>
      <c r="J88" s="238">
        <f>IFERROR(__xludf.DUMMYFUNCTION("IMPORTRANGE(""https://docs.google.com/spreadsheets/d/1SX6NBoVAgQJ6U1MVXOaj8PK2l7WJ3RER9xtqwdhxkhw/edit?usp=sharing"",""จันทบุรี!J28"")"),0.0)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IFERROR(__xludf.DUMMYFUNCTION("IMPORTRANGE(""https://docs.google.com/spreadsheets/d/1SX6NBoVAgQJ6U1MVXOaj8PK2l7WJ3RER9xtqwdhxkhw/edit?usp=sharing"",""จันทบุรี!J29"")"),0.0)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IFERROR(__xludf.DUMMYFUNCTION("IMPORTRANGE(""https://docs.google.com/spreadsheets/d/1SX6NBoVAgQJ6U1MVXOaj8PK2l7WJ3RER9xtqwdhxkhw/edit?usp=sharing"",""จันทบุรี!J30"")"),0.0)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IFERROR(__xludf.DUMMYFUNCTION("IMPORTRANGE(""https://docs.google.com/spreadsheets/d/1SX6NBoVAgQJ6U1MVXOaj8PK2l7WJ3RER9xtqwdhxkhw/edit?usp=sharing"",""จันทบุรี!I32"")"),0.0)</f>
        <v>0</v>
      </c>
      <c r="J92" s="172">
        <f>IFERROR(__xludf.DUMMYFUNCTION("IMPORTRANGE(""https://docs.google.com/spreadsheets/d/1SX6NBoVAgQJ6U1MVXOaj8PK2l7WJ3RER9xtqwdhxkhw/edit?usp=sharing"",""จันทบุรี!J32"")"),0.0)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IFERROR(__xludf.DUMMYFUNCTION("IMPORTRANGE(""https://docs.google.com/spreadsheets/d/1SX6NBoVAgQJ6U1MVXOaj8PK2l7WJ3RER9xtqwdhxkhw/edit?usp=sharing"",""จันทบุรี!I33"")"),0.0)</f>
        <v>0</v>
      </c>
      <c r="J93" s="172">
        <f>IFERROR(__xludf.DUMMYFUNCTION("IMPORTRANGE(""https://docs.google.com/spreadsheets/d/1SX6NBoVAgQJ6U1MVXOaj8PK2l7WJ3RER9xtqwdhxkhw/edit?usp=sharing"",""จันทบุรี!J33"")"),0.0)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IFERROR(__xludf.DUMMYFUNCTION("IMPORTRANGE(""https://docs.google.com/spreadsheets/d/1Yj_ptqi66GCucihVvJfMjLAmec39IyEx_6qawtMGysU/edit?usp=sharing"",""สบก!AR60"")"),0.0)</f>
        <v>0</v>
      </c>
      <c r="N98" s="202">
        <f>IFERROR(__xludf.DUMMYFUNCTION("IMPORTRANGE(""https://docs.google.com/spreadsheets/d/1Yj_ptqi66GCucihVvJfMjLAmec39IyEx_6qawtMGysU/edit?usp=sharing"",""สบก!AS60"")"),0.0)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IFERROR(__xludf.DUMMYFUNCTION("IMPORTRANGE(""https://docs.google.com/spreadsheets/d/1Yj_ptqi66GCucihVvJfMjLAmec39IyEx_6qawtMGysU/edit?usp=sharing"",""สบก!AN60"")"),0.0)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IFERROR(__xludf.DUMMYFUNCTION("IMPORTRANGE(""https://docs.google.com/spreadsheets/d/1Yj_ptqi66GCucihVvJfMjLAmec39IyEx_6qawtMGysU/edit?usp=sharing"",""สบก!AO60"")"),0.0)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IFERROR(__xludf.DUMMYFUNCTION("IMPORTRANGE(""https://docs.google.com/spreadsheets/d/1Yj_ptqi66GCucihVvJfMjLAmec39IyEx_6qawtMGysU/edit?usp=sharing"",""สบก!AP60"")"),0.0)</f>
        <v>0</v>
      </c>
      <c r="M102" s="125"/>
      <c r="N102" s="115">
        <f>IFERROR(__xludf.DUMMYFUNCTION("IMPORTRANGE(""https://docs.google.com/spreadsheets/d/1Yj_ptqi66GCucihVvJfMjLAmec39IyEx_6qawtMGysU/edit?usp=sharing"",""สบก!AT60"")"),0.0)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IFERROR(__xludf.DUMMYFUNCTION("IMPORTRANGE(""https://docs.google.com/spreadsheets/d/1SX6NBoVAgQJ6U1MVXOaj8PK2l7WJ3RER9xtqwdhxkhw/edit?usp=sharing"",""จันทบุรี!J39"")"),0.0)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IFERROR(__xludf.DUMMYFUNCTION("IMPORTRANGE(""https://docs.google.com/spreadsheets/d/1SX6NBoVAgQJ6U1MVXOaj8PK2l7WJ3RER9xtqwdhxkhw/edit?usp=sharing"",""จันทบุรี!J40"")"),0.0)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IFERROR(__xludf.DUMMYFUNCTION("IMPORTRANGE(""https://docs.google.com/spreadsheets/d/1SX6NBoVAgQJ6U1MVXOaj8PK2l7WJ3RER9xtqwdhxkhw/edit?usp=sharing"",""จันทบุรี!J41"")"),0.0)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IFERROR(__xludf.DUMMYFUNCTION("IMPORTRANGE(""https://docs.google.com/spreadsheets/d/1SX6NBoVAgQJ6U1MVXOaj8PK2l7WJ3RER9xtqwdhxkhw/edit?usp=sharing"",""จันทบุรี!J42"")"),0.0)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IFERROR(__xludf.DUMMYFUNCTION("IMPORTRANGE(""https://docs.google.com/spreadsheets/d/1SX6NBoVAgQJ6U1MVXOaj8PK2l7WJ3RER9xtqwdhxkhw/edit?usp=sharing"",""จันทบุรี!I43"")"),0.0)</f>
        <v>0</v>
      </c>
      <c r="J108" s="238">
        <f>IFERROR(__xludf.DUMMYFUNCTION("IMPORTRANGE(""https://docs.google.com/spreadsheets/d/1SX6NBoVAgQJ6U1MVXOaj8PK2l7WJ3RER9xtqwdhxkhw/edit?usp=sharing"",""จันทบุรี!J43"")"),0.0)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IFERROR(__xludf.DUMMYFUNCTION("IMPORTRANGE(""https://docs.google.com/spreadsheets/d/1SX6NBoVAgQJ6U1MVXOaj8PK2l7WJ3RER9xtqwdhxkhw/edit?usp=sharing"",""จันทบุรี!I44"")"),0.0)</f>
        <v>0</v>
      </c>
      <c r="J109" s="238">
        <f>IFERROR(__xludf.DUMMYFUNCTION("IMPORTRANGE(""https://docs.google.com/spreadsheets/d/1SX6NBoVAgQJ6U1MVXOaj8PK2l7WJ3RER9xtqwdhxkhw/edit?usp=sharing"",""จันทบุรี!J44"")"),0.0)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IFERROR(__xludf.DUMMYFUNCTION("IMPORTRANGE(""https://docs.google.com/spreadsheets/d/1SX6NBoVAgQJ6U1MVXOaj8PK2l7WJ3RER9xtqwdhxkhw/edit?usp=sharing"",""จันทบุรี!I45"")"),0.0)</f>
        <v>0</v>
      </c>
      <c r="J110" s="238">
        <f>IFERROR(__xludf.DUMMYFUNCTION("IMPORTRANGE(""https://docs.google.com/spreadsheets/d/1SX6NBoVAgQJ6U1MVXOaj8PK2l7WJ3RER9xtqwdhxkhw/edit?usp=sharing"",""จันทบุรี!J45"")"),0.0)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IFERROR(__xludf.DUMMYFUNCTION("IMPORTRANGE(""https://docs.google.com/spreadsheets/d/1SX6NBoVAgQJ6U1MVXOaj8PK2l7WJ3RER9xtqwdhxkhw/edit?usp=sharing"",""จันทบุรี!I46"")"),0.0)</f>
        <v>0</v>
      </c>
      <c r="J111" s="238">
        <f>IFERROR(__xludf.DUMMYFUNCTION("IMPORTRANGE(""https://docs.google.com/spreadsheets/d/1SX6NBoVAgQJ6U1MVXOaj8PK2l7WJ3RER9xtqwdhxkhw/edit?usp=sharing"",""จันทบุรี!J46"")"),0.0)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IFERROR(__xludf.DUMMYFUNCTION("IMPORTRANGE(""https://docs.google.com/spreadsheets/d/1SX6NBoVAgQJ6U1MVXOaj8PK2l7WJ3RER9xtqwdhxkhw/edit?usp=sharing"",""จันทบุรี!I47"")"),0.0)</f>
        <v>0</v>
      </c>
      <c r="J112" s="238">
        <f>IFERROR(__xludf.DUMMYFUNCTION("IMPORTRANGE(""https://docs.google.com/spreadsheets/d/1SX6NBoVAgQJ6U1MVXOaj8PK2l7WJ3RER9xtqwdhxkhw/edit?usp=sharing"",""จันทบุรี!J47"")"),0.0)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IFERROR(__xludf.DUMMYFUNCTION("IMPORTRANGE(""https://docs.google.com/spreadsheets/d/1SX6NBoVAgQJ6U1MVXOaj8PK2l7WJ3RER9xtqwdhxkhw/edit?usp=sharing"",""จันทบุรี!I48"")"),0.0)</f>
        <v>0</v>
      </c>
      <c r="J113" s="238">
        <f>IFERROR(__xludf.DUMMYFUNCTION("IMPORTRANGE(""https://docs.google.com/spreadsheets/d/1SX6NBoVAgQJ6U1MVXOaj8PK2l7WJ3RER9xtqwdhxkhw/edit?usp=sharing"",""จันทบุรี!J48"")"),0.0)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IFERROR(__xludf.DUMMYFUNCTION("IMPORTRANGE(""https://docs.google.com/spreadsheets/d/1SX6NBoVAgQJ6U1MVXOaj8PK2l7WJ3RER9xtqwdhxkhw/edit?usp=sharing"",""จันทบุรี!J49"")"),0.0)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IFERROR(__xludf.DUMMYFUNCTION("IMPORTRANGE(""https://docs.google.com/spreadsheets/d/1SX6NBoVAgQJ6U1MVXOaj8PK2l7WJ3RER9xtqwdhxkhw/edit?usp=sharing"",""จันทบุรี!J50"")"),0.0)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IFERROR(__xludf.DUMMYFUNCTION("IMPORTRANGE(""https://docs.google.com/spreadsheets/d/1SX6NBoVAgQJ6U1MVXOaj8PK2l7WJ3RER9xtqwdhxkhw/edit?usp=sharing"",""จันทบุรี!I52"")"),0.0)</f>
        <v>0</v>
      </c>
      <c r="J117" s="172">
        <f>IFERROR(__xludf.DUMMYFUNCTION("IMPORTRANGE(""https://docs.google.com/spreadsheets/d/1SX6NBoVAgQJ6U1MVXOaj8PK2l7WJ3RER9xtqwdhxkhw/edit?usp=sharing"",""จันทบุรี!J52"")"),0.0)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IFERROR(__xludf.DUMMYFUNCTION("IMPORTRANGE(""https://docs.google.com/spreadsheets/d/1Yj_ptqi66GCucihVvJfMjLAmec39IyEx_6qawtMGysU/edit?usp=sharing"",""สบก!BA60"")"),0.0)</f>
        <v>0</v>
      </c>
      <c r="N122" s="202">
        <f>IFERROR(__xludf.DUMMYFUNCTION("IMPORTRANGE(""https://docs.google.com/spreadsheets/d/1Yj_ptqi66GCucihVvJfMjLAmec39IyEx_6qawtMGysU/edit?usp=sharing"",""สบก!BB60"")"),0.0)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IFERROR(__xludf.DUMMYFUNCTION("IMPORTRANGE(""https://docs.google.com/spreadsheets/d/1Yj_ptqi66GCucihVvJfMjLAmec39IyEx_6qawtMGysU/edit?usp=sharing"",""สบก!AW60"")"),0.0)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IFERROR(__xludf.DUMMYFUNCTION("IMPORTRANGE(""https://docs.google.com/spreadsheets/d/1Yj_ptqi66GCucihVvJfMjLAmec39IyEx_6qawtMGysU/edit?usp=sharing"",""สบก!AX60"")"),0.0)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IFERROR(__xludf.DUMMYFUNCTION("IMPORTRANGE(""https://docs.google.com/spreadsheets/d/1Yj_ptqi66GCucihVvJfMjLAmec39IyEx_6qawtMGysU/edit?usp=sharing"",""สบก!AY60"")"),0.0)</f>
        <v>0</v>
      </c>
      <c r="M126" s="125"/>
      <c r="N126" s="115">
        <f>IFERROR(__xludf.DUMMYFUNCTION("IMPORTRANGE(""https://docs.google.com/spreadsheets/d/1Yj_ptqi66GCucihVvJfMjLAmec39IyEx_6qawtMGysU/edit?usp=sharing"",""สบก!BC60"")"),0.0)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IFERROR(__xludf.DUMMYFUNCTION("IMPORTRANGE(""https://docs.google.com/spreadsheets/d/1SX6NBoVAgQJ6U1MVXOaj8PK2l7WJ3RER9xtqwdhxkhw/edit?usp=sharing"",""จันทบุรี!J58"")"),0.0)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IFERROR(__xludf.DUMMYFUNCTION("IMPORTRANGE(""https://docs.google.com/spreadsheets/d/1SX6NBoVAgQJ6U1MVXOaj8PK2l7WJ3RER9xtqwdhxkhw/edit?usp=sharing"",""จันทบุรี!J59"")"),0.0)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IFERROR(__xludf.DUMMYFUNCTION("IMPORTRANGE(""https://docs.google.com/spreadsheets/d/1SX6NBoVAgQJ6U1MVXOaj8PK2l7WJ3RER9xtqwdhxkhw/edit?usp=sharing"",""จันทบุรี!J60"")"),0.0)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IFERROR(__xludf.DUMMYFUNCTION("IMPORTRANGE(""https://docs.google.com/spreadsheets/d/1SX6NBoVAgQJ6U1MVXOaj8PK2l7WJ3RER9xtqwdhxkhw/edit?usp=sharing"",""จันทบุรี!J61"")"),0.0)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IFERROR(__xludf.DUMMYFUNCTION("IMPORTRANGE(""https://docs.google.com/spreadsheets/d/1SX6NBoVAgQJ6U1MVXOaj8PK2l7WJ3RER9xtqwdhxkhw/edit?usp=sharing"",""จันทบุรี!I62"")"),0.0)</f>
        <v>0</v>
      </c>
      <c r="J132" s="238">
        <f>IFERROR(__xludf.DUMMYFUNCTION("IMPORTRANGE(""https://docs.google.com/spreadsheets/d/1SX6NBoVAgQJ6U1MVXOaj8PK2l7WJ3RER9xtqwdhxkhw/edit?usp=sharing"",""จันทบุรี!J62"")"),0.0)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IFERROR(__xludf.DUMMYFUNCTION("IMPORTRANGE(""https://docs.google.com/spreadsheets/d/1SX6NBoVAgQJ6U1MVXOaj8PK2l7WJ3RER9xtqwdhxkhw/edit?usp=sharing"",""จันทบุรี!I63"")"),0.0)</f>
        <v>0</v>
      </c>
      <c r="J133" s="238">
        <f>IFERROR(__xludf.DUMMYFUNCTION("IMPORTRANGE(""https://docs.google.com/spreadsheets/d/1SX6NBoVAgQJ6U1MVXOaj8PK2l7WJ3RER9xtqwdhxkhw/edit?usp=sharing"",""จันทบุรี!J63"")"),0.0)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IFERROR(__xludf.DUMMYFUNCTION("IMPORTRANGE(""https://docs.google.com/spreadsheets/d/1SX6NBoVAgQJ6U1MVXOaj8PK2l7WJ3RER9xtqwdhxkhw/edit?usp=sharing"",""จันทบุรี!J64"")"),0.0)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IFERROR(__xludf.DUMMYFUNCTION("IMPORTRANGE(""https://docs.google.com/spreadsheets/d/1SX6NBoVAgQJ6U1MVXOaj8PK2l7WJ3RER9xtqwdhxkhw/edit?usp=sharing"",""จันทบุรี!J65"")"),0.0)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IFERROR(__xludf.DUMMYFUNCTION("IMPORTRANGE(""https://docs.google.com/spreadsheets/d/1SX6NBoVAgQJ6U1MVXOaj8PK2l7WJ3RER9xtqwdhxkhw/edit?usp=sharing"",""จันทบุรี!I68"")"),20.0)</f>
        <v>20</v>
      </c>
      <c r="J138" s="301">
        <f>IFERROR(__xludf.DUMMYFUNCTION("IMPORTRANGE(""https://docs.google.com/spreadsheets/d/1SX6NBoVAgQJ6U1MVXOaj8PK2l7WJ3RER9xtqwdhxkhw/edit?usp=sharing"",""จันทบุรี!J68"")"),0.0)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255400</v>
      </c>
      <c r="M140" s="183">
        <f t="shared" si="65"/>
        <v>158550</v>
      </c>
      <c r="N140" s="183">
        <f t="shared" si="65"/>
        <v>70402</v>
      </c>
      <c r="O140" s="182">
        <f t="shared" ref="O140:O142" si="67">IF(L140&gt;0,N140*100/L140,0)</f>
        <v>27.56538763</v>
      </c>
      <c r="P140" s="182">
        <f t="shared" ref="P140:P142" si="68">IF(M140&gt;0,N140*100/M140,0)</f>
        <v>44.40365815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255400</v>
      </c>
      <c r="M142" s="188">
        <f t="shared" si="69"/>
        <v>158550</v>
      </c>
      <c r="N142" s="188">
        <f t="shared" si="69"/>
        <v>70402</v>
      </c>
      <c r="O142" s="187">
        <f t="shared" si="67"/>
        <v>27.56538763</v>
      </c>
      <c r="P142" s="187">
        <f t="shared" si="68"/>
        <v>44.40365815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255400</v>
      </c>
      <c r="M144" s="201">
        <f>IFERROR(__xludf.DUMMYFUNCTION("IMPORTRANGE(""https://docs.google.com/spreadsheets/d/1Yj_ptqi66GCucihVvJfMjLAmec39IyEx_6qawtMGysU/edit?usp=sharing"",""สบก!BJ60"")"),158550.0)</f>
        <v>158550</v>
      </c>
      <c r="N144" s="202">
        <f>IFERROR(__xludf.DUMMYFUNCTION("IMPORTRANGE(""https://docs.google.com/spreadsheets/d/1Yj_ptqi66GCucihVvJfMjLAmec39IyEx_6qawtMGysU/edit?usp=sharing"",""สบก!BK60"")"),70402.0)</f>
        <v>70402</v>
      </c>
      <c r="O144" s="203">
        <f>IF(L144&gt;0,N144*100/L144,0)</f>
        <v>27.56538763</v>
      </c>
      <c r="P144" s="203">
        <f>IF(M144&gt;0,N144*100/M144,0)</f>
        <v>44.40365815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IFERROR(__xludf.DUMMYFUNCTION("IMPORTRANGE(""https://docs.google.com/spreadsheets/d/1Yj_ptqi66GCucihVvJfMjLAmec39IyEx_6qawtMGysU/edit?usp=sharing"",""สบก!BF60"")"),132000.0)</f>
        <v>132000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IFERROR(__xludf.DUMMYFUNCTION("IMPORTRANGE(""https://docs.google.com/spreadsheets/d/1Yj_ptqi66GCucihVvJfMjLAmec39IyEx_6qawtMGysU/edit?usp=sharing"",""สบก!BG60"")"),123400.0)</f>
        <v>123400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IFERROR(__xludf.DUMMYFUNCTION("IMPORTRANGE(""https://docs.google.com/spreadsheets/d/1Yj_ptqi66GCucihVvJfMjLAmec39IyEx_6qawtMGysU/edit?usp=sharing"",""สบก!BH60"")"),0.0)</f>
        <v>0</v>
      </c>
      <c r="M148" s="125"/>
      <c r="N148" s="115">
        <f>IFERROR(__xludf.DUMMYFUNCTION("IMPORTRANGE(""https://docs.google.com/spreadsheets/d/1Yj_ptqi66GCucihVvJfMjLAmec39IyEx_6qawtMGysU/edit?usp=sharing"",""สบก!BL60"")"),0.0)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IFERROR(__xludf.DUMMYFUNCTION("IMPORTRANGE(""https://docs.google.com/spreadsheets/d/1SX6NBoVAgQJ6U1MVXOaj8PK2l7WJ3RER9xtqwdhxkhw/edit?usp=sharing"",""จันทบุรี!I74"")"),4.0)</f>
        <v>4</v>
      </c>
      <c r="J149" s="309">
        <f>IFERROR(__xludf.DUMMYFUNCTION("IMPORTRANGE(""https://docs.google.com/spreadsheets/d/1SX6NBoVAgQJ6U1MVXOaj8PK2l7WJ3RER9xtqwdhxkhw/edit?usp=sharing"",""จันทบุรี!J74"")"),1.0)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IFERROR(__xludf.DUMMYFUNCTION("IMPORTRANGE(""https://docs.google.com/spreadsheets/d/1SX6NBoVAgQJ6U1MVXOaj8PK2l7WJ3RER9xtqwdhxkhw/edit?usp=sharing"",""จันทบุรี!J79"")"),0.0)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IFERROR(__xludf.DUMMYFUNCTION("IMPORTRANGE(""https://docs.google.com/spreadsheets/d/1SX6NBoVAgQJ6U1MVXOaj8PK2l7WJ3RER9xtqwdhxkhw/edit?usp=sharing"",""จันทบุรี!J80"")"),1.0)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IFERROR(__xludf.DUMMYFUNCTION("IMPORTRANGE(""https://docs.google.com/spreadsheets/d/1SX6NBoVAgQJ6U1MVXOaj8PK2l7WJ3RER9xtqwdhxkhw/edit?usp=sharing"",""จันทบุรี!J81"")"),1.0)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IFERROR(__xludf.DUMMYFUNCTION("IMPORTRANGE(""https://docs.google.com/spreadsheets/d/1SX6NBoVAgQJ6U1MVXOaj8PK2l7WJ3RER9xtqwdhxkhw/edit?usp=sharing"",""จันทบุรี!J82"")"),1.0)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IFERROR(__xludf.DUMMYFUNCTION("IMPORTRANGE(""https://docs.google.com/spreadsheets/d/1SX6NBoVAgQJ6U1MVXOaj8PK2l7WJ3RER9xtqwdhxkhw/edit?usp=sharing"",""จันทบุรี!I83"")"),4.0)</f>
        <v>4</v>
      </c>
      <c r="J158" s="223">
        <f>IFERROR(__xludf.DUMMYFUNCTION("IMPORTRANGE(""https://docs.google.com/spreadsheets/d/1SX6NBoVAgQJ6U1MVXOaj8PK2l7WJ3RER9xtqwdhxkhw/edit?usp=sharing"",""จันทบุรี!J83"")"),1.0)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IFERROR(__xludf.DUMMYFUNCTION("IMPORTRANGE(""https://docs.google.com/spreadsheets/d/1SX6NBoVAgQJ6U1MVXOaj8PK2l7WJ3RER9xtqwdhxkhw/edit?usp=sharing"",""จันทบุรี!J84"")"),0.0)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IFERROR(__xludf.DUMMYFUNCTION("IMPORTRANGE(""https://docs.google.com/spreadsheets/d/1SX6NBoVAgQJ6U1MVXOaj8PK2l7WJ3RER9xtqwdhxkhw/edit?usp=sharing"",""จันทบุรี!J85"")"),0.0)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IFERROR(__xludf.DUMMYFUNCTION("IMPORTRANGE(""https://docs.google.com/spreadsheets/d/1SX6NBoVAgQJ6U1MVXOaj8PK2l7WJ3RER9xtqwdhxkhw/edit?usp=sharing"",""จันทบุรี!J86"")"),0.0)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IFERROR(__xludf.DUMMYFUNCTION("IMPORTRANGE(""https://docs.google.com/spreadsheets/d/1SX6NBoVAgQJ6U1MVXOaj8PK2l7WJ3RER9xtqwdhxkhw/edit?usp=sharing"",""จันทบุรี!J87"")"),0.0)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IFERROR(__xludf.DUMMYFUNCTION("IMPORTRANGE(""https://docs.google.com/spreadsheets/d/1SX6NBoVAgQJ6U1MVXOaj8PK2l7WJ3RER9xtqwdhxkhw/edit?usp=sharing"",""จันทบุรี!J88"")"),0.0)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IFERROR(__xludf.DUMMYFUNCTION("IMPORTRANGE(""https://docs.google.com/spreadsheets/d/1SX6NBoVAgQJ6U1MVXOaj8PK2l7WJ3RER9xtqwdhxkhw/edit?usp=sharing"",""จันทบุรี!I89"")"),2.0)</f>
        <v>2</v>
      </c>
      <c r="J164" s="317">
        <f>IFERROR(__xludf.DUMMYFUNCTION("IMPORTRANGE(""https://docs.google.com/spreadsheets/d/1SX6NBoVAgQJ6U1MVXOaj8PK2l7WJ3RER9xtqwdhxkhw/edit?usp=sharing"",""จันทบุรี!J89"")"),0.0)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IFERROR(__xludf.DUMMYFUNCTION("IMPORTRANGE(""https://docs.google.com/spreadsheets/d/1SX6NBoVAgQJ6U1MVXOaj8PK2l7WJ3RER9xtqwdhxkhw/edit?usp=sharing"",""จันทบุรี!J94"")"),0.0)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IFERROR(__xludf.DUMMYFUNCTION("IMPORTRANGE(""https://docs.google.com/spreadsheets/d/1SX6NBoVAgQJ6U1MVXOaj8PK2l7WJ3RER9xtqwdhxkhw/edit?usp=sharing"",""จันทบุรี!J95"")"),1.0)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IFERROR(__xludf.DUMMYFUNCTION("IMPORTRANGE(""https://docs.google.com/spreadsheets/d/1SX6NBoVAgQJ6U1MVXOaj8PK2l7WJ3RER9xtqwdhxkhw/edit?usp=sharing"",""จันทบุรี!J96"")"),1.0)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IFERROR(__xludf.DUMMYFUNCTION("IMPORTRANGE(""https://docs.google.com/spreadsheets/d/1SX6NBoVAgQJ6U1MVXOaj8PK2l7WJ3RER9xtqwdhxkhw/edit?usp=sharing"",""จันทบุรี!J97"")"),1.0)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IFERROR(__xludf.DUMMYFUNCTION("IMPORTRANGE(""https://docs.google.com/spreadsheets/d/1SX6NBoVAgQJ6U1MVXOaj8PK2l7WJ3RER9xtqwdhxkhw/edit?usp=sharing"",""จันทบุรี!I98"")"),2.0)</f>
        <v>2</v>
      </c>
      <c r="J173" s="223">
        <f>IFERROR(__xludf.DUMMYFUNCTION("IMPORTRANGE(""https://docs.google.com/spreadsheets/d/1SX6NBoVAgQJ6U1MVXOaj8PK2l7WJ3RER9xtqwdhxkhw/edit?usp=sharing"",""จันทบุรี!J98"")"),0.0)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IFERROR(__xludf.DUMMYFUNCTION("IMPORTRANGE(""https://docs.google.com/spreadsheets/d/1SX6NBoVAgQJ6U1MVXOaj8PK2l7WJ3RER9xtqwdhxkhw/edit?usp=sharing"",""จันทบุรี!J99"")"),0.0)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IFERROR(__xludf.DUMMYFUNCTION("IMPORTRANGE(""https://docs.google.com/spreadsheets/d/1SX6NBoVAgQJ6U1MVXOaj8PK2l7WJ3RER9xtqwdhxkhw/edit?usp=sharing"",""จันทบุรี!J100"")"),0.0)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IFERROR(__xludf.DUMMYFUNCTION("IMPORTRANGE(""https://docs.google.com/spreadsheets/d/1SX6NBoVAgQJ6U1MVXOaj8PK2l7WJ3RER9xtqwdhxkhw/edit?usp=sharing"",""จันทบุรี!I101"")"),1.0)</f>
        <v>1</v>
      </c>
      <c r="J176" s="317">
        <f>IFERROR(__xludf.DUMMYFUNCTION("IMPORTRANGE(""https://docs.google.com/spreadsheets/d/1SX6NBoVAgQJ6U1MVXOaj8PK2l7WJ3RER9xtqwdhxkhw/edit?usp=sharing"",""จันทบุรี!J101"")"),1.0)</f>
        <v>1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IFERROR(__xludf.DUMMYFUNCTION("IMPORTRANGE(""https://docs.google.com/spreadsheets/d/1SX6NBoVAgQJ6U1MVXOaj8PK2l7WJ3RER9xtqwdhxkhw/edit?usp=sharing"",""จันทบุรี!J106"")"),0.0)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IFERROR(__xludf.DUMMYFUNCTION("IMPORTRANGE(""https://docs.google.com/spreadsheets/d/1SX6NBoVAgQJ6U1MVXOaj8PK2l7WJ3RER9xtqwdhxkhw/edit?usp=sharing"",""จันทบุรี!J107"")"),1.0)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IFERROR(__xludf.DUMMYFUNCTION("IMPORTRANGE(""https://docs.google.com/spreadsheets/d/1SX6NBoVAgQJ6U1MVXOaj8PK2l7WJ3RER9xtqwdhxkhw/edit?usp=sharing"",""จันทบุรี!J108"")"),1.0)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IFERROR(__xludf.DUMMYFUNCTION("IMPORTRANGE(""https://docs.google.com/spreadsheets/d/1SX6NBoVAgQJ6U1MVXOaj8PK2l7WJ3RER9xtqwdhxkhw/edit?usp=sharing"",""จันทบุรี!J109"")"),0.0)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IFERROR(__xludf.DUMMYFUNCTION("IMPORTRANGE(""https://docs.google.com/spreadsheets/d/1SX6NBoVAgQJ6U1MVXOaj8PK2l7WJ3RER9xtqwdhxkhw/edit?usp=sharing"",""จันทบุรี!I110"")"),1.0)</f>
        <v>1</v>
      </c>
      <c r="J185" s="238">
        <f>IFERROR(__xludf.DUMMYFUNCTION("IMPORTRANGE(""https://docs.google.com/spreadsheets/d/1SX6NBoVAgQJ6U1MVXOaj8PK2l7WJ3RER9xtqwdhxkhw/edit?usp=sharing"",""จันทบุรี!J110"")"),0.0)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IFERROR(__xludf.DUMMYFUNCTION("IMPORTRANGE(""https://docs.google.com/spreadsheets/d/1SX6NBoVAgQJ6U1MVXOaj8PK2l7WJ3RER9xtqwdhxkhw/edit?usp=sharing"",""จันทบุรี!I111"")"),1.0)</f>
        <v>1</v>
      </c>
      <c r="J186" s="238">
        <f>IFERROR(__xludf.DUMMYFUNCTION("IMPORTRANGE(""https://docs.google.com/spreadsheets/d/1SX6NBoVAgQJ6U1MVXOaj8PK2l7WJ3RER9xtqwdhxkhw/edit?usp=sharing"",""จันทบุรี!J111"")"),1.0)</f>
        <v>1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IFERROR(__xludf.DUMMYFUNCTION("IMPORTRANGE(""https://docs.google.com/spreadsheets/d/1SX6NBoVAgQJ6U1MVXOaj8PK2l7WJ3RER9xtqwdhxkhw/edit?usp=sharing"",""จันทบุรี!J112"")"),0.0)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IFERROR(__xludf.DUMMYFUNCTION("IMPORTRANGE(""https://docs.google.com/spreadsheets/d/1SX6NBoVAgQJ6U1MVXOaj8PK2l7WJ3RER9xtqwdhxkhw/edit?usp=sharing"",""จันทบุรี!J113"")"),0.0)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IFERROR(__xludf.DUMMYFUNCTION("IMPORTRANGE(""https://docs.google.com/spreadsheets/d/1SX6NBoVAgQJ6U1MVXOaj8PK2l7WJ3RER9xtqwdhxkhw/edit?usp=sharing"",""จันทบุรี!I114"")"),12800.0)</f>
        <v>12800</v>
      </c>
      <c r="J189" s="317">
        <f>IFERROR(__xludf.DUMMYFUNCTION("IMPORTRANGE(""https://docs.google.com/spreadsheets/d/1SX6NBoVAgQJ6U1MVXOaj8PK2l7WJ3RER9xtqwdhxkhw/edit?usp=sharing"",""จันทบุรี!J114"")"),0.0)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IFERROR(__xludf.DUMMYFUNCTION("IMPORTRANGE(""https://docs.google.com/spreadsheets/d/1SX6NBoVAgQJ6U1MVXOaj8PK2l7WJ3RER9xtqwdhxkhw/edit?usp=sharing"",""จันทบุรี!J119"")"),0.0)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IFERROR(__xludf.DUMMYFUNCTION("IMPORTRANGE(""https://docs.google.com/spreadsheets/d/1SX6NBoVAgQJ6U1MVXOaj8PK2l7WJ3RER9xtqwdhxkhw/edit?usp=sharing"",""จันทบุรี!J120"")"),1.0)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IFERROR(__xludf.DUMMYFUNCTION("IMPORTRANGE(""https://docs.google.com/spreadsheets/d/1SX6NBoVAgQJ6U1MVXOaj8PK2l7WJ3RER9xtqwdhxkhw/edit?usp=sharing"",""จันทบุรี!J121"")"),1.0)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IFERROR(__xludf.DUMMYFUNCTION("IMPORTRANGE(""https://docs.google.com/spreadsheets/d/1SX6NBoVAgQJ6U1MVXOaj8PK2l7WJ3RER9xtqwdhxkhw/edit?usp=sharing"",""จันทบุรี!J122"")"),1.0)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IFERROR(__xludf.DUMMYFUNCTION("IMPORTRANGE(""https://docs.google.com/spreadsheets/d/1SX6NBoVAgQJ6U1MVXOaj8PK2l7WJ3RER9xtqwdhxkhw/edit?usp=sharing"",""จันทบุรี!I124"")"),12800.0)</f>
        <v>12800</v>
      </c>
      <c r="J199" s="223">
        <f>IFERROR(__xludf.DUMMYFUNCTION("IMPORTRANGE(""https://docs.google.com/spreadsheets/d/1SX6NBoVAgQJ6U1MVXOaj8PK2l7WJ3RER9xtqwdhxkhw/edit?usp=sharing"",""จันทบุรี!J124"")"),0.0)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IFERROR(__xludf.DUMMYFUNCTION("IMPORTRANGE(""https://docs.google.com/spreadsheets/d/1SX6NBoVAgQJ6U1MVXOaj8PK2l7WJ3RER9xtqwdhxkhw/edit?usp=sharing"",""จันทบุรี!I125"")"),12800.0)</f>
        <v>12800</v>
      </c>
      <c r="J200" s="223">
        <f>IFERROR(__xludf.DUMMYFUNCTION("IMPORTRANGE(""https://docs.google.com/spreadsheets/d/1SX6NBoVAgQJ6U1MVXOaj8PK2l7WJ3RER9xtqwdhxkhw/edit?usp=sharing"",""จันทบุรี!J125"")"),0.0)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IFERROR(__xludf.DUMMYFUNCTION("IMPORTRANGE(""https://docs.google.com/spreadsheets/d/1SX6NBoVAgQJ6U1MVXOaj8PK2l7WJ3RER9xtqwdhxkhw/edit?usp=sharing"",""จันทบุรี!I126"")"),0.0)</f>
        <v>0</v>
      </c>
      <c r="J201" s="223">
        <f>IFERROR(__xludf.DUMMYFUNCTION("IMPORTRANGE(""https://docs.google.com/spreadsheets/d/1SX6NBoVAgQJ6U1MVXOaj8PK2l7WJ3RER9xtqwdhxkhw/edit?usp=sharing"",""จันทบุรี!J126"")"),0.0)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IFERROR(__xludf.DUMMYFUNCTION("IMPORTRANGE(""https://docs.google.com/spreadsheets/d/1SX6NBoVAgQJ6U1MVXOaj8PK2l7WJ3RER9xtqwdhxkhw/edit?usp=sharing"",""จันทบุรี!J127"")"),0.0)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IFERROR(__xludf.DUMMYFUNCTION("IMPORTRANGE(""https://docs.google.com/spreadsheets/d/1SX6NBoVAgQJ6U1MVXOaj8PK2l7WJ3RER9xtqwdhxkhw/edit?usp=sharing"",""จันทบุรี!J128"")"),0.0)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IFERROR(__xludf.DUMMYFUNCTION("IMPORTRANGE(""https://docs.google.com/spreadsheets/d/1SX6NBoVAgQJ6U1MVXOaj8PK2l7WJ3RER9xtqwdhxkhw/edit?usp=sharing"",""จันทบุรี!I129"")"),20.0)</f>
        <v>20</v>
      </c>
      <c r="J204" s="317">
        <f>IFERROR(__xludf.DUMMYFUNCTION("IMPORTRANGE(""https://docs.google.com/spreadsheets/d/1SX6NBoVAgQJ6U1MVXOaj8PK2l7WJ3RER9xtqwdhxkhw/edit?usp=sharing"",""จันทบุรี!J129"")"),0.0)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IFERROR(__xludf.DUMMYFUNCTION("IMPORTRANGE(""https://docs.google.com/spreadsheets/d/1SX6NBoVAgQJ6U1MVXOaj8PK2l7WJ3RER9xtqwdhxkhw/edit?usp=sharing"",""จันทบุรี!J134"")"),0.0)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IFERROR(__xludf.DUMMYFUNCTION("IMPORTRANGE(""https://docs.google.com/spreadsheets/d/1SX6NBoVAgQJ6U1MVXOaj8PK2l7WJ3RER9xtqwdhxkhw/edit?usp=sharing"",""จันทบุรี!J135"")"),1.0)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IFERROR(__xludf.DUMMYFUNCTION("IMPORTRANGE(""https://docs.google.com/spreadsheets/d/1SX6NBoVAgQJ6U1MVXOaj8PK2l7WJ3RER9xtqwdhxkhw/edit?usp=sharing"",""จันทบุรี!J136"")"),1.0)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IFERROR(__xludf.DUMMYFUNCTION("IMPORTRANGE(""https://docs.google.com/spreadsheets/d/1SX6NBoVAgQJ6U1MVXOaj8PK2l7WJ3RER9xtqwdhxkhw/edit?usp=sharing"",""จันทบุรี!J137"")"),1.0)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IFERROR(__xludf.DUMMYFUNCTION("IMPORTRANGE(""https://docs.google.com/spreadsheets/d/1SX6NBoVAgQJ6U1MVXOaj8PK2l7WJ3RER9xtqwdhxkhw/edit?usp=sharing"",""จันทบุรี!I138"")"),20.0)</f>
        <v>20</v>
      </c>
      <c r="J213" s="238">
        <f>IFERROR(__xludf.DUMMYFUNCTION("IMPORTRANGE(""https://docs.google.com/spreadsheets/d/1SX6NBoVAgQJ6U1MVXOaj8PK2l7WJ3RER9xtqwdhxkhw/edit?usp=sharing"",""จันทบุรี!J138"")"),0.0)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IFERROR(__xludf.DUMMYFUNCTION("IMPORTRANGE(""https://docs.google.com/spreadsheets/d/1SX6NBoVAgQJ6U1MVXOaj8PK2l7WJ3RER9xtqwdhxkhw/edit?usp=sharing"",""จันทบุรี!I140"")"),0.0)</f>
        <v>0</v>
      </c>
      <c r="J215" s="238">
        <f>IFERROR(__xludf.DUMMYFUNCTION("IMPORTRANGE(""https://docs.google.com/spreadsheets/d/1SX6NBoVAgQJ6U1MVXOaj8PK2l7WJ3RER9xtqwdhxkhw/edit?usp=sharing"",""จันทบุรี!J140"")"),0.0)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IFERROR(__xludf.DUMMYFUNCTION("IMPORTRANGE(""https://docs.google.com/spreadsheets/d/1SX6NBoVAgQJ6U1MVXOaj8PK2l7WJ3RER9xtqwdhxkhw/edit?usp=sharing"",""จันทบุรี!I141"")"),0.0)</f>
        <v>0</v>
      </c>
      <c r="J216" s="238">
        <f>IFERROR(__xludf.DUMMYFUNCTION("IMPORTRANGE(""https://docs.google.com/spreadsheets/d/1SX6NBoVAgQJ6U1MVXOaj8PK2l7WJ3RER9xtqwdhxkhw/edit?usp=sharing"",""จันทบุรี!J141"")"),0.0)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IFERROR(__xludf.DUMMYFUNCTION("IMPORTRANGE(""https://docs.google.com/spreadsheets/d/1SX6NBoVAgQJ6U1MVXOaj8PK2l7WJ3RER9xtqwdhxkhw/edit?usp=sharing"",""จันทบุรี!J142"")"),0.0)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IFERROR(__xludf.DUMMYFUNCTION("IMPORTRANGE(""https://docs.google.com/spreadsheets/d/1SX6NBoVAgQJ6U1MVXOaj8PK2l7WJ3RER9xtqwdhxkhw/edit?usp=sharing"",""จันทบุรี!J143"")"),0.0)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IFERROR(__xludf.DUMMYFUNCTION("IMPORTRANGE(""https://docs.google.com/spreadsheets/d/1SX6NBoVAgQJ6U1MVXOaj8PK2l7WJ3RER9xtqwdhxkhw/edit?usp=sharing"",""จันทบุรี!I144"")"),13.0)</f>
        <v>13</v>
      </c>
      <c r="J219" s="301">
        <f>IFERROR(__xludf.DUMMYFUNCTION("IMPORTRANGE(""https://docs.google.com/spreadsheets/d/1SX6NBoVAgQJ6U1MVXOaj8PK2l7WJ3RER9xtqwdhxkhw/edit?usp=sharing"",""จันทบุรี!J144"")"),13.0)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17795</v>
      </c>
      <c r="O220" s="182">
        <f t="shared" ref="O220:O222" si="75">IF(L220&gt;0,N220*100/L220,0)</f>
        <v>92.22596528</v>
      </c>
      <c r="P220" s="182">
        <f t="shared" ref="P220:P222" si="76">IF(M220&gt;0,N220*100/M220,0)</f>
        <v>92.22596528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17795</v>
      </c>
      <c r="O222" s="187">
        <f t="shared" si="75"/>
        <v>92.22596528</v>
      </c>
      <c r="P222" s="187">
        <f t="shared" si="76"/>
        <v>92.22596528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IFERROR(__xludf.DUMMYFUNCTION("IMPORTRANGE(""https://docs.google.com/spreadsheets/d/1Yj_ptqi66GCucihVvJfMjLAmec39IyEx_6qawtMGysU/edit?usp=sharing"",""สบก!BS60"")"),19295.0)</f>
        <v>19295</v>
      </c>
      <c r="N224" s="202">
        <f>IFERROR(__xludf.DUMMYFUNCTION("IMPORTRANGE(""https://docs.google.com/spreadsheets/d/1Yj_ptqi66GCucihVvJfMjLAmec39IyEx_6qawtMGysU/edit?usp=sharing"",""สบก!BT60"")"),17795.0)</f>
        <v>17795</v>
      </c>
      <c r="O224" s="203">
        <f>IF(L224&gt;0,N224*100/L224,0)</f>
        <v>92.22596528</v>
      </c>
      <c r="P224" s="203">
        <f>IF(M224&gt;0,N224*100/M224,0)</f>
        <v>92.22596528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IFERROR(__xludf.DUMMYFUNCTION("IMPORTRANGE(""https://docs.google.com/spreadsheets/d/1Yj_ptqi66GCucihVvJfMjLAmec39IyEx_6qawtMGysU/edit?usp=sharing"",""สบก!BO60"")"),0.0)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IFERROR(__xludf.DUMMYFUNCTION("IMPORTRANGE(""https://docs.google.com/spreadsheets/d/1Yj_ptqi66GCucihVvJfMjLAmec39IyEx_6qawtMGysU/edit?usp=sharing"",""สบก!BP60"")"),19295.0)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IFERROR(__xludf.DUMMYFUNCTION("IMPORTRANGE(""https://docs.google.com/spreadsheets/d/1Yj_ptqi66GCucihVvJfMjLAmec39IyEx_6qawtMGysU/edit?usp=sharing"",""สบก!BQ60"")"),0.0)</f>
        <v>0</v>
      </c>
      <c r="M228" s="125"/>
      <c r="N228" s="115">
        <f>IFERROR(__xludf.DUMMYFUNCTION("IMPORTRANGE(""https://docs.google.com/spreadsheets/d/1Yj_ptqi66GCucihVvJfMjLAmec39IyEx_6qawtMGysU/edit?usp=sharing"",""สบก!BU60"")"),0.0)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IFERROR(__xludf.DUMMYFUNCTION("IMPORTRANGE(""https://docs.google.com/spreadsheets/d/1SX6NBoVAgQJ6U1MVXOaj8PK2l7WJ3RER9xtqwdhxkhw/edit?usp=sharing"",""จันทบุรี!I149"")"),13.0)</f>
        <v>13</v>
      </c>
      <c r="J229" s="301">
        <f>IFERROR(__xludf.DUMMYFUNCTION("IMPORTRANGE(""https://docs.google.com/spreadsheets/d/1SX6NBoVAgQJ6U1MVXOaj8PK2l7WJ3RER9xtqwdhxkhw/edit?usp=sharing"",""จันทบุรี!J149"")"),13.0)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IFERROR(__xludf.DUMMYFUNCTION("IMPORTRANGE(""https://docs.google.com/spreadsheets/d/1SX6NBoVAgQJ6U1MVXOaj8PK2l7WJ3RER9xtqwdhxkhw/edit?usp=sharing"",""จันทบุรี!J151"")"),0.0)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IFERROR(__xludf.DUMMYFUNCTION("IMPORTRANGE(""https://docs.google.com/spreadsheets/d/1SX6NBoVAgQJ6U1MVXOaj8PK2l7WJ3RER9xtqwdhxkhw/edit?usp=sharing"",""จันทบุรี!J152"")"),1.0)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IFERROR(__xludf.DUMMYFUNCTION("IMPORTRANGE(""https://docs.google.com/spreadsheets/d/1SX6NBoVAgQJ6U1MVXOaj8PK2l7WJ3RER9xtqwdhxkhw/edit?usp=sharing"",""จันทบุรี!J153"")"),1.0)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IFERROR(__xludf.DUMMYFUNCTION("IMPORTRANGE(""https://docs.google.com/spreadsheets/d/1SX6NBoVAgQJ6U1MVXOaj8PK2l7WJ3RER9xtqwdhxkhw/edit?usp=sharing"",""จันทบุรี!J154"")"),1.0)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IFERROR(__xludf.DUMMYFUNCTION("IMPORTRANGE(""https://docs.google.com/spreadsheets/d/1SX6NBoVAgQJ6U1MVXOaj8PK2l7WJ3RER9xtqwdhxkhw/edit?usp=sharing"",""จันทบุรี!I155"")"),13.0)</f>
        <v>13</v>
      </c>
      <c r="J235" s="223">
        <f>IFERROR(__xludf.DUMMYFUNCTION("IMPORTRANGE(""https://docs.google.com/spreadsheets/d/1SX6NBoVAgQJ6U1MVXOaj8PK2l7WJ3RER9xtqwdhxkhw/edit?usp=sharing"",""จันทบุรี!J155"")"),13.0)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IFERROR(__xludf.DUMMYFUNCTION("IMPORTRANGE(""https://docs.google.com/spreadsheets/d/1SX6NBoVAgQJ6U1MVXOaj8PK2l7WJ3RER9xtqwdhxkhw/edit?usp=sharing"",""จันทบุรี!J156"")"),0.0)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IFERROR(__xludf.DUMMYFUNCTION("IMPORTRANGE(""https://docs.google.com/spreadsheets/d/1SX6NBoVAgQJ6U1MVXOaj8PK2l7WJ3RER9xtqwdhxkhw/edit?usp=sharing"",""จันทบุรี!J157"")"),0.0)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IFERROR(__xludf.DUMMYFUNCTION("IMPORTRANGE(""https://docs.google.com/spreadsheets/d/1SX6NBoVAgQJ6U1MVXOaj8PK2l7WJ3RER9xtqwdhxkhw/edit?usp=sharing"",""จันทบุรี!I158"")"),0.0)</f>
        <v>0</v>
      </c>
      <c r="J238" s="301">
        <f>IFERROR(__xludf.DUMMYFUNCTION("IMPORTRANGE(""https://docs.google.com/spreadsheets/d/1SX6NBoVAgQJ6U1MVXOaj8PK2l7WJ3RER9xtqwdhxkhw/edit?usp=sharing"",""จันทบุรี!J158"")"),0.0)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IFERROR(__xludf.DUMMYFUNCTION("IMPORTRANGE(""https://docs.google.com/spreadsheets/d/1SX6NBoVAgQJ6U1MVXOaj8PK2l7WJ3RER9xtqwdhxkhw/edit?usp=sharing"",""จันทบุรี!J159"")"),"")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IFERROR(__xludf.DUMMYFUNCTION("IMPORTRANGE(""https://docs.google.com/spreadsheets/d/1SX6NBoVAgQJ6U1MVXOaj8PK2l7WJ3RER9xtqwdhxkhw/edit?usp=sharing"",""จันทบุรี!J161"")"),0.0)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IFERROR(__xludf.DUMMYFUNCTION("IMPORTRANGE(""https://docs.google.com/spreadsheets/d/1SX6NBoVAgQJ6U1MVXOaj8PK2l7WJ3RER9xtqwdhxkhw/edit?usp=sharing"",""จันทบุรี!J162"")"),0.0)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IFERROR(__xludf.DUMMYFUNCTION("IMPORTRANGE(""https://docs.google.com/spreadsheets/d/1SX6NBoVAgQJ6U1MVXOaj8PK2l7WJ3RER9xtqwdhxkhw/edit?usp=sharing"",""จันทบุรี!J163"")"),0.0)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IFERROR(__xludf.DUMMYFUNCTION("IMPORTRANGE(""https://docs.google.com/spreadsheets/d/1SX6NBoVAgQJ6U1MVXOaj8PK2l7WJ3RER9xtqwdhxkhw/edit?usp=sharing"",""จันทบุรี!I164"")"),0.0)</f>
        <v>0</v>
      </c>
      <c r="J244" s="222">
        <f>IFERROR(__xludf.DUMMYFUNCTION("IMPORTRANGE(""https://docs.google.com/spreadsheets/d/1SX6NBoVAgQJ6U1MVXOaj8PK2l7WJ3RER9xtqwdhxkhw/edit?usp=sharing"",""จันทบุรี!J164"")"),0.0)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IFERROR(__xludf.DUMMYFUNCTION("IMPORTRANGE(""https://docs.google.com/spreadsheets/d/1SX6NBoVAgQJ6U1MVXOaj8PK2l7WJ3RER9xtqwdhxkhw/edit?usp=sharing"",""จันทบุรี!J165"")"),0.0)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IFERROR(__xludf.DUMMYFUNCTION("IMPORTRANGE(""https://docs.google.com/spreadsheets/d/1SX6NBoVAgQJ6U1MVXOaj8PK2l7WJ3RER9xtqwdhxkhw/edit?usp=sharing"",""จันทบุรี!J166"")"),0.0)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IFERROR(__xludf.DUMMYFUNCTION("IMPORTRANGE(""https://docs.google.com/spreadsheets/d/1SX6NBoVAgQJ6U1MVXOaj8PK2l7WJ3RER9xtqwdhxkhw/edit?usp=sharing"",""จันทบุรี!I169"")"),25.0)</f>
        <v>25</v>
      </c>
      <c r="J249" s="349">
        <f>IFERROR(__xludf.DUMMYFUNCTION("IMPORTRANGE(""https://docs.google.com/spreadsheets/d/1SX6NBoVAgQJ6U1MVXOaj8PK2l7WJ3RER9xtqwdhxkhw/edit?usp=sharing"",""จันทบุรี!J169"")"),0.0)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199000</v>
      </c>
      <c r="M250" s="183">
        <f t="shared" si="78"/>
        <v>97500</v>
      </c>
      <c r="N250" s="183">
        <f t="shared" si="78"/>
        <v>24563</v>
      </c>
      <c r="O250" s="182">
        <f t="shared" ref="O250:O252" si="80">IF(L250&gt;0,N250*100/L250,0)</f>
        <v>12.34321608</v>
      </c>
      <c r="P250" s="182">
        <f t="shared" ref="P250:P252" si="81">IF(M250&gt;0,N250*100/M250,0)</f>
        <v>25.19282051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199000</v>
      </c>
      <c r="M252" s="188">
        <f t="shared" si="82"/>
        <v>97500</v>
      </c>
      <c r="N252" s="188">
        <f t="shared" si="82"/>
        <v>24563</v>
      </c>
      <c r="O252" s="187">
        <f t="shared" si="80"/>
        <v>12.34321608</v>
      </c>
      <c r="P252" s="187">
        <f t="shared" si="81"/>
        <v>25.19282051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199000</v>
      </c>
      <c r="M254" s="201">
        <f>IFERROR(__xludf.DUMMYFUNCTION("IMPORTRANGE(""https://docs.google.com/spreadsheets/d/1Yj_ptqi66GCucihVvJfMjLAmec39IyEx_6qawtMGysU/edit?usp=sharing"",""สบก!CB60"")"),97500.0)</f>
        <v>97500</v>
      </c>
      <c r="N254" s="202">
        <f>IFERROR(__xludf.DUMMYFUNCTION("IMPORTRANGE(""https://docs.google.com/spreadsheets/d/1Yj_ptqi66GCucihVvJfMjLAmec39IyEx_6qawtMGysU/edit?usp=sharing"",""สบก!CC60"")"),24563.0)</f>
        <v>24563</v>
      </c>
      <c r="O254" s="203">
        <f>IF(L254&gt;0,N254*100/L254,0)</f>
        <v>12.34321608</v>
      </c>
      <c r="P254" s="203">
        <f>IF(M254&gt;0,N254*100/M254,0)</f>
        <v>25.19282051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IFERROR(__xludf.DUMMYFUNCTION("IMPORTRANGE(""https://docs.google.com/spreadsheets/d/1Yj_ptqi66GCucihVvJfMjLAmec39IyEx_6qawtMGysU/edit?usp=sharing"",""สบก!BX60"")"),0.0)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IFERROR(__xludf.DUMMYFUNCTION("IMPORTRANGE(""https://docs.google.com/spreadsheets/d/1Yj_ptqi66GCucihVvJfMjLAmec39IyEx_6qawtMGysU/edit?usp=sharing"",""สบก!BY60"")"),199000.0)</f>
        <v>199000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IFERROR(__xludf.DUMMYFUNCTION("IMPORTRANGE(""https://docs.google.com/spreadsheets/d/1Yj_ptqi66GCucihVvJfMjLAmec39IyEx_6qawtMGysU/edit?usp=sharing"",""สบก!BZ60"")"),0.0)</f>
        <v>0</v>
      </c>
      <c r="M258" s="125"/>
      <c r="N258" s="115">
        <f>IFERROR(__xludf.DUMMYFUNCTION("IMPORTRANGE(""https://docs.google.com/spreadsheets/d/1Yj_ptqi66GCucihVvJfMjLAmec39IyEx_6qawtMGysU/edit?usp=sharing"",""สบก!CD60"")"),0.0)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IFERROR(__xludf.DUMMYFUNCTION("IMPORTRANGE(""https://docs.google.com/spreadsheets/d/1SX6NBoVAgQJ6U1MVXOaj8PK2l7WJ3RER9xtqwdhxkhw/edit?usp=sharing"",""จันทบุรี!J175"")"),0.0)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IFERROR(__xludf.DUMMYFUNCTION("IMPORTRANGE(""https://docs.google.com/spreadsheets/d/1SX6NBoVAgQJ6U1MVXOaj8PK2l7WJ3RER9xtqwdhxkhw/edit?usp=sharing"",""จันทบุรี!J176"")"),1.0)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IFERROR(__xludf.DUMMYFUNCTION("IMPORTRANGE(""https://docs.google.com/spreadsheets/d/1SX6NBoVAgQJ6U1MVXOaj8PK2l7WJ3RER9xtqwdhxkhw/edit?usp=sharing"",""จันทบุรี!J177"")"),1.0)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IFERROR(__xludf.DUMMYFUNCTION("IMPORTRANGE(""https://docs.google.com/spreadsheets/d/1SX6NBoVAgQJ6U1MVXOaj8PK2l7WJ3RER9xtqwdhxkhw/edit?usp=sharing"",""จันทบุรี!J178"")"),1.0)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IFERROR(__xludf.DUMMYFUNCTION("IMPORTRANGE(""https://docs.google.com/spreadsheets/d/1SX6NBoVAgQJ6U1MVXOaj8PK2l7WJ3RER9xtqwdhxkhw/edit?usp=sharing"",""จันทบุรี!I179"")"),1.0)</f>
        <v>1</v>
      </c>
      <c r="J264" s="223">
        <f>IFERROR(__xludf.DUMMYFUNCTION("IMPORTRANGE(""https://docs.google.com/spreadsheets/d/1SX6NBoVAgQJ6U1MVXOaj8PK2l7WJ3RER9xtqwdhxkhw/edit?usp=sharing"",""จันทบุรี!J179"")"),0.0)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IFERROR(__xludf.DUMMYFUNCTION("IMPORTRANGE(""https://docs.google.com/spreadsheets/d/1SX6NBoVAgQJ6U1MVXOaj8PK2l7WJ3RER9xtqwdhxkhw/edit?usp=sharing"",""จันทบุรี!I180"")"),25.0)</f>
        <v>25</v>
      </c>
      <c r="J265" s="223">
        <f>IFERROR(__xludf.DUMMYFUNCTION("IMPORTRANGE(""https://docs.google.com/spreadsheets/d/1SX6NBoVAgQJ6U1MVXOaj8PK2l7WJ3RER9xtqwdhxkhw/edit?usp=sharing"",""จันทบุรี!J180"")"),0.0)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IFERROR(__xludf.DUMMYFUNCTION("IMPORTRANGE(""https://docs.google.com/spreadsheets/d/1SX6NBoVAgQJ6U1MVXOaj8PK2l7WJ3RER9xtqwdhxkhw/edit?usp=sharing"",""จันทบุรี!I181"")"),25.0)</f>
        <v>25</v>
      </c>
      <c r="J266" s="223">
        <f>IFERROR(__xludf.DUMMYFUNCTION("IMPORTRANGE(""https://docs.google.com/spreadsheets/d/1SX6NBoVAgQJ6U1MVXOaj8PK2l7WJ3RER9xtqwdhxkhw/edit?usp=sharing"",""จันทบุรี!J181"")"),0.0)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IFERROR(__xludf.DUMMYFUNCTION("IMPORTRANGE(""https://docs.google.com/spreadsheets/d/1SX6NBoVAgQJ6U1MVXOaj8PK2l7WJ3RER9xtqwdhxkhw/edit?usp=sharing"",""จันทบุรี!I182"")"),1.0)</f>
        <v>1</v>
      </c>
      <c r="J267" s="223">
        <f>IFERROR(__xludf.DUMMYFUNCTION("IMPORTRANGE(""https://docs.google.com/spreadsheets/d/1SX6NBoVAgQJ6U1MVXOaj8PK2l7WJ3RER9xtqwdhxkhw/edit?usp=sharing"",""จันทบุรี!J182"")"),0.0)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IFERROR(__xludf.DUMMYFUNCTION("IMPORTRANGE(""https://docs.google.com/spreadsheets/d/1SX6NBoVAgQJ6U1MVXOaj8PK2l7WJ3RER9xtqwdhxkhw/edit?usp=sharing"",""จันทบุรี!J183"")"),0.0)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IFERROR(__xludf.DUMMYFUNCTION("IMPORTRANGE(""https://docs.google.com/spreadsheets/d/1SX6NBoVAgQJ6U1MVXOaj8PK2l7WJ3RER9xtqwdhxkhw/edit?usp=sharing"",""จันทบุรี!J184"")"),0.0)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IFERROR(__xludf.DUMMYFUNCTION("IMPORTRANGE(""https://docs.google.com/spreadsheets/d/1SX6NBoVAgQJ6U1MVXOaj8PK2l7WJ3RER9xtqwdhxkhw/edit?usp=sharing"",""จันทบุรี!I185"")"),15.0)</f>
        <v>15</v>
      </c>
      <c r="J270" s="349">
        <f>IFERROR(__xludf.DUMMYFUNCTION("IMPORTRANGE(""https://docs.google.com/spreadsheets/d/1SX6NBoVAgQJ6U1MVXOaj8PK2l7WJ3RER9xtqwdhxkhw/edit?usp=sharing"",""จันทบุรี!J185"")"),0.0)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8940</v>
      </c>
      <c r="O271" s="182">
        <f t="shared" ref="O271:O273" si="86">IF(L271&gt;0,N271*100/L271,0)</f>
        <v>16.19565217</v>
      </c>
      <c r="P271" s="182">
        <f t="shared" ref="P271:P273" si="87">IF(M271&gt;0,N271*100/M271,0)</f>
        <v>27.72093023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8940</v>
      </c>
      <c r="O273" s="187">
        <f t="shared" si="86"/>
        <v>16.19565217</v>
      </c>
      <c r="P273" s="187">
        <f t="shared" si="87"/>
        <v>27.72093023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IFERROR(__xludf.DUMMYFUNCTION("IMPORTRANGE(""https://docs.google.com/spreadsheets/d/1Yj_ptqi66GCucihVvJfMjLAmec39IyEx_6qawtMGysU/edit?usp=sharing"",""สบก!CK60"")"),32250.0)</f>
        <v>32250</v>
      </c>
      <c r="N275" s="202">
        <f>IFERROR(__xludf.DUMMYFUNCTION("IMPORTRANGE(""https://docs.google.com/spreadsheets/d/1Yj_ptqi66GCucihVvJfMjLAmec39IyEx_6qawtMGysU/edit?usp=sharing"",""สบก!CL60"")"),8940.0)</f>
        <v>8940</v>
      </c>
      <c r="O275" s="203">
        <f>IF(L275&gt;0,N275*100/L275,0)</f>
        <v>16.19565217</v>
      </c>
      <c r="P275" s="203">
        <f>IF(M275&gt;0,N275*100/M275,0)</f>
        <v>27.72093023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IFERROR(__xludf.DUMMYFUNCTION("IMPORTRANGE(""https://docs.google.com/spreadsheets/d/1Yj_ptqi66GCucihVvJfMjLAmec39IyEx_6qawtMGysU/edit?usp=sharing"",""สบก!CG60"")"),0.0)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IFERROR(__xludf.DUMMYFUNCTION("IMPORTRANGE(""https://docs.google.com/spreadsheets/d/1Yj_ptqi66GCucihVvJfMjLAmec39IyEx_6qawtMGysU/edit?usp=sharing"",""สบก!CH60"")"),55200.0)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IFERROR(__xludf.DUMMYFUNCTION("IMPORTRANGE(""https://docs.google.com/spreadsheets/d/1Yj_ptqi66GCucihVvJfMjLAmec39IyEx_6qawtMGysU/edit?usp=sharing"",""สบก!CI60"")"),0.0)</f>
        <v>0</v>
      </c>
      <c r="M279" s="125"/>
      <c r="N279" s="115">
        <f>IFERROR(__xludf.DUMMYFUNCTION("IMPORTRANGE(""https://docs.google.com/spreadsheets/d/1Yj_ptqi66GCucihVvJfMjLAmec39IyEx_6qawtMGysU/edit?usp=sharing"",""สบก!CM60"")"),0.0)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IFERROR(__xludf.DUMMYFUNCTION("IMPORTRANGE(""https://docs.google.com/spreadsheets/d/1SX6NBoVAgQJ6U1MVXOaj8PK2l7WJ3RER9xtqwdhxkhw/edit?usp=sharing"",""จันทบุรี!J191"")"),0.0)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IFERROR(__xludf.DUMMYFUNCTION("IMPORTRANGE(""https://docs.google.com/spreadsheets/d/1SX6NBoVAgQJ6U1MVXOaj8PK2l7WJ3RER9xtqwdhxkhw/edit?usp=sharing"",""จันทบุรี!J192"")"),1.0)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IFERROR(__xludf.DUMMYFUNCTION("IMPORTRANGE(""https://docs.google.com/spreadsheets/d/1SX6NBoVAgQJ6U1MVXOaj8PK2l7WJ3RER9xtqwdhxkhw/edit?usp=sharing"",""จันทบุรี!J193"")"),1.0)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IFERROR(__xludf.DUMMYFUNCTION("IMPORTRANGE(""https://docs.google.com/spreadsheets/d/1SX6NBoVAgQJ6U1MVXOaj8PK2l7WJ3RER9xtqwdhxkhw/edit?usp=sharing"",""จันทบุรี!J194"")"),1.0)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IFERROR(__xludf.DUMMYFUNCTION("IMPORTRANGE(""https://docs.google.com/spreadsheets/d/1SX6NBoVAgQJ6U1MVXOaj8PK2l7WJ3RER9xtqwdhxkhw/edit?usp=sharing"",""จันทบุรี!I195"")"),15.0)</f>
        <v>15</v>
      </c>
      <c r="J285" s="223">
        <f>IFERROR(__xludf.DUMMYFUNCTION("IMPORTRANGE(""https://docs.google.com/spreadsheets/d/1SX6NBoVAgQJ6U1MVXOaj8PK2l7WJ3RER9xtqwdhxkhw/edit?usp=sharing"",""จันทบุรี!J195"")"),0.0)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IFERROR(__xludf.DUMMYFUNCTION("IMPORTRANGE(""https://docs.google.com/spreadsheets/d/1SX6NBoVAgQJ6U1MVXOaj8PK2l7WJ3RER9xtqwdhxkhw/edit?usp=sharing"",""จันทบุรี!J196"")"),0.0)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IFERROR(__xludf.DUMMYFUNCTION("IMPORTRANGE(""https://docs.google.com/spreadsheets/d/1SX6NBoVAgQJ6U1MVXOaj8PK2l7WJ3RER9xtqwdhxkhw/edit?usp=sharing"",""จันทบุรี!J197"")"),0.0)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IFERROR(__xludf.DUMMYFUNCTION("IMPORTRANGE(""https://docs.google.com/spreadsheets/d/1SX6NBoVAgQJ6U1MVXOaj8PK2l7WJ3RER9xtqwdhxkhw/edit?usp=sharing"",""จันทบุรี!I199"")"),0.0)</f>
        <v>0</v>
      </c>
      <c r="J289" s="349">
        <f>IFERROR(__xludf.DUMMYFUNCTION("IMPORTRANGE(""https://docs.google.com/spreadsheets/d/1SX6NBoVAgQJ6U1MVXOaj8PK2l7WJ3RER9xtqwdhxkhw/edit?usp=sharing"",""จันทบุรี!J199"")"),0.0)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IFERROR(__xludf.DUMMYFUNCTION("IMPORTRANGE(""https://docs.google.com/spreadsheets/d/1Yj_ptqi66GCucihVvJfMjLAmec39IyEx_6qawtMGysU/edit?usp=sharing"",""สบก!CT60"")"),0.0)</f>
        <v>0</v>
      </c>
      <c r="N294" s="202">
        <f>IFERROR(__xludf.DUMMYFUNCTION("IMPORTRANGE(""https://docs.google.com/spreadsheets/d/1Yj_ptqi66GCucihVvJfMjLAmec39IyEx_6qawtMGysU/edit?usp=sharing"",""สบก!CU60"")"),0.0)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IFERROR(__xludf.DUMMYFUNCTION("IMPORTRANGE(""https://docs.google.com/spreadsheets/d/1Yj_ptqi66GCucihVvJfMjLAmec39IyEx_6qawtMGysU/edit?usp=sharing"",""สบก!CP60"")"),0.0)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IFERROR(__xludf.DUMMYFUNCTION("IMPORTRANGE(""https://docs.google.com/spreadsheets/d/1Yj_ptqi66GCucihVvJfMjLAmec39IyEx_6qawtMGysU/edit?usp=sharing"",""สบก!CQ60"")"),0.0)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IFERROR(__xludf.DUMMYFUNCTION("IMPORTRANGE(""https://docs.google.com/spreadsheets/d/1Yj_ptqi66GCucihVvJfMjLAmec39IyEx_6qawtMGysU/edit?usp=sharing"",""สบก!CR60"")"),0.0)</f>
        <v>0</v>
      </c>
      <c r="M298" s="125"/>
      <c r="N298" s="115">
        <f>IFERROR(__xludf.DUMMYFUNCTION("IMPORTRANGE(""https://docs.google.com/spreadsheets/d/1Yj_ptqi66GCucihVvJfMjLAmec39IyEx_6qawtMGysU/edit?usp=sharing"",""สบก!CV60"")"),0.0)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IFERROR(__xludf.DUMMYFUNCTION("IMPORTRANGE(""https://docs.google.com/spreadsheets/d/1SX6NBoVAgQJ6U1MVXOaj8PK2l7WJ3RER9xtqwdhxkhw/edit?usp=sharing"",""จันทบุรี!J205"")"),0.0)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IFERROR(__xludf.DUMMYFUNCTION("IMPORTRANGE(""https://docs.google.com/spreadsheets/d/1SX6NBoVAgQJ6U1MVXOaj8PK2l7WJ3RER9xtqwdhxkhw/edit?usp=sharing"",""จันทบุรี!J206"")"),0.0)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IFERROR(__xludf.DUMMYFUNCTION("IMPORTRANGE(""https://docs.google.com/spreadsheets/d/1SX6NBoVAgQJ6U1MVXOaj8PK2l7WJ3RER9xtqwdhxkhw/edit?usp=sharing"",""จันทบุรี!J207"")"),0.0)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IFERROR(__xludf.DUMMYFUNCTION("IMPORTRANGE(""https://docs.google.com/spreadsheets/d/1SX6NBoVAgQJ6U1MVXOaj8PK2l7WJ3RER9xtqwdhxkhw/edit?usp=sharing"",""จันทบุรี!J208"")"),0.0)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IFERROR(__xludf.DUMMYFUNCTION("IMPORTRANGE(""https://docs.google.com/spreadsheets/d/1SX6NBoVAgQJ6U1MVXOaj8PK2l7WJ3RER9xtqwdhxkhw/edit?usp=sharing"",""จันทบุรี!I209"")"),0.0)</f>
        <v>0</v>
      </c>
      <c r="J304" s="238">
        <f>IFERROR(__xludf.DUMMYFUNCTION("IMPORTRANGE(""https://docs.google.com/spreadsheets/d/1SX6NBoVAgQJ6U1MVXOaj8PK2l7WJ3RER9xtqwdhxkhw/edit?usp=sharing"",""จันทบุรี!J209"")"),0.0)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IFERROR(__xludf.DUMMYFUNCTION("IMPORTRANGE(""https://docs.google.com/spreadsheets/d/1SX6NBoVAgQJ6U1MVXOaj8PK2l7WJ3RER9xtqwdhxkhw/edit?usp=sharing"",""จันทบุรี!I211"")"),0.0)</f>
        <v>0</v>
      </c>
      <c r="J306" s="238">
        <f>IFERROR(__xludf.DUMMYFUNCTION("IMPORTRANGE(""https://docs.google.com/spreadsheets/d/1SX6NBoVAgQJ6U1MVXOaj8PK2l7WJ3RER9xtqwdhxkhw/edit?usp=sharing"",""จันทบุรี!J211"")"),0.0)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IFERROR(__xludf.DUMMYFUNCTION("IMPORTRANGE(""https://docs.google.com/spreadsheets/d/1SX6NBoVAgQJ6U1MVXOaj8PK2l7WJ3RER9xtqwdhxkhw/edit?usp=sharing"",""จันทบุรี!J212"")"),0.0)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IFERROR(__xludf.DUMMYFUNCTION("IMPORTRANGE(""https://docs.google.com/spreadsheets/d/1SX6NBoVAgQJ6U1MVXOaj8PK2l7WJ3RER9xtqwdhxkhw/edit?usp=sharing"",""จันทบุรี!J213"")"),0.0)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IFERROR(__xludf.DUMMYFUNCTION("IMPORTRANGE(""https://docs.google.com/spreadsheets/d/1SX6NBoVAgQJ6U1MVXOaj8PK2l7WJ3RER9xtqwdhxkhw/edit?usp=sharing"",""จันทบุรี!I214"")"),0.0)</f>
        <v>0</v>
      </c>
      <c r="J309" s="366">
        <f>IFERROR(__xludf.DUMMYFUNCTION("IMPORTRANGE(""https://docs.google.com/spreadsheets/d/1SX6NBoVAgQJ6U1MVXOaj8PK2l7WJ3RER9xtqwdhxkhw/edit?usp=sharing"",""จันทบุรี!J214"")"),0.0)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IFERROR(__xludf.DUMMYFUNCTION("IMPORTRANGE(""https://docs.google.com/spreadsheets/d/1Yj_ptqi66GCucihVvJfMjLAmec39IyEx_6qawtMGysU/edit?usp=sharing"",""สบก!DC60"")"),0.0)</f>
        <v>0</v>
      </c>
      <c r="N314" s="202">
        <f>IFERROR(__xludf.DUMMYFUNCTION("IMPORTRANGE(""https://docs.google.com/spreadsheets/d/1Yj_ptqi66GCucihVvJfMjLAmec39IyEx_6qawtMGysU/edit?usp=sharing"",""สบก!DD60"")"),0.0)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IFERROR(__xludf.DUMMYFUNCTION("IMPORTRANGE(""https://docs.google.com/spreadsheets/d/1Yj_ptqi66GCucihVvJfMjLAmec39IyEx_6qawtMGysU/edit?usp=sharing"",""สบก!CY60"")"),0.0)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IFERROR(__xludf.DUMMYFUNCTION("IMPORTRANGE(""https://docs.google.com/spreadsheets/d/1Yj_ptqi66GCucihVvJfMjLAmec39IyEx_6qawtMGysU/edit?usp=sharing"",""สบก!CZ60"")"),0.0)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IFERROR(__xludf.DUMMYFUNCTION("IMPORTRANGE(""https://docs.google.com/spreadsheets/d/1Yj_ptqi66GCucihVvJfMjLAmec39IyEx_6qawtMGysU/edit?usp=sharing"",""สบก!DA60"")"),0.0)</f>
        <v>0</v>
      </c>
      <c r="M318" s="125"/>
      <c r="N318" s="115">
        <f>IFERROR(__xludf.DUMMYFUNCTION("IMPORTRANGE(""https://docs.google.com/spreadsheets/d/1Yj_ptqi66GCucihVvJfMjLAmec39IyEx_6qawtMGysU/edit?usp=sharing"",""สบก!DE60"")"),0.0)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IFERROR(__xludf.DUMMYFUNCTION("IMPORTRANGE(""https://docs.google.com/spreadsheets/d/1SX6NBoVAgQJ6U1MVXOaj8PK2l7WJ3RER9xtqwdhxkhw/edit?usp=sharing"",""จันทบุรี!J220"")"),0.0)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IFERROR(__xludf.DUMMYFUNCTION("IMPORTRANGE(""https://docs.google.com/spreadsheets/d/1SX6NBoVAgQJ6U1MVXOaj8PK2l7WJ3RER9xtqwdhxkhw/edit?usp=sharing"",""จันทบุรี!J221"")"),0.0)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IFERROR(__xludf.DUMMYFUNCTION("IMPORTRANGE(""https://docs.google.com/spreadsheets/d/1SX6NBoVAgQJ6U1MVXOaj8PK2l7WJ3RER9xtqwdhxkhw/edit?usp=sharing"",""จันทบุรี!J222"")"),0.0)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IFERROR(__xludf.DUMMYFUNCTION("IMPORTRANGE(""https://docs.google.com/spreadsheets/d/1SX6NBoVAgQJ6U1MVXOaj8PK2l7WJ3RER9xtqwdhxkhw/edit?usp=sharing"",""จันทบุรี!J223"")"),0.0)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IFERROR(__xludf.DUMMYFUNCTION("IMPORTRANGE(""https://docs.google.com/spreadsheets/d/1SX6NBoVAgQJ6U1MVXOaj8PK2l7WJ3RER9xtqwdhxkhw/edit?usp=sharing"",""จันทบุรี!I224"")"),0.0)</f>
        <v>0</v>
      </c>
      <c r="J324" s="238">
        <f>IFERROR(__xludf.DUMMYFUNCTION("IMPORTRANGE(""https://docs.google.com/spreadsheets/d/1SX6NBoVAgQJ6U1MVXOaj8PK2l7WJ3RER9xtqwdhxkhw/edit?usp=sharing"",""จันทบุรี!J224"")"),0.0)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IFERROR(__xludf.DUMMYFUNCTION("IMPORTRANGE(""https://docs.google.com/spreadsheets/d/1SX6NBoVAgQJ6U1MVXOaj8PK2l7WJ3RER9xtqwdhxkhw/edit?usp=sharing"",""จันทบุรี!J225"")"),0.0)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IFERROR(__xludf.DUMMYFUNCTION("IMPORTRANGE(""https://docs.google.com/spreadsheets/d/1SX6NBoVAgQJ6U1MVXOaj8PK2l7WJ3RER9xtqwdhxkhw/edit?usp=sharing"",""จันทบุรี!J226"")"),0.0)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IFERROR(__xludf.DUMMYFUNCTION("IMPORTRANGE(""https://docs.google.com/spreadsheets/d/1SX6NBoVAgQJ6U1MVXOaj8PK2l7WJ3RER9xtqwdhxkhw/edit?usp=sharing"",""จันทบุรี!I228"")"),160.0)</f>
        <v>160</v>
      </c>
      <c r="J328" s="372">
        <f>IFERROR(__xludf.DUMMYFUNCTION("IMPORTRANGE(""https://docs.google.com/spreadsheets/d/1SX6NBoVAgQJ6U1MVXOaj8PK2l7WJ3RER9xtqwdhxkhw/edit?usp=sharing"",""จันทบุรี!J228"")"),10.0)</f>
        <v>10</v>
      </c>
      <c r="K328" s="350">
        <f>IF(I328&gt;0,J328*100/I328,0)</f>
        <v>6.25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682250</v>
      </c>
      <c r="M329" s="183">
        <f t="shared" si="99"/>
        <v>375830</v>
      </c>
      <c r="N329" s="183">
        <f t="shared" si="99"/>
        <v>166597</v>
      </c>
      <c r="O329" s="182">
        <f t="shared" ref="O329:O331" si="101">IF(L329&gt;0,N329*100/L329,0)</f>
        <v>24.41876145</v>
      </c>
      <c r="P329" s="182">
        <f t="shared" ref="P329:P331" si="102">IF(M329&gt;0,N329*100/M329,0)</f>
        <v>44.32775457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682250</v>
      </c>
      <c r="M331" s="188">
        <f t="shared" si="103"/>
        <v>375830</v>
      </c>
      <c r="N331" s="188">
        <f t="shared" si="103"/>
        <v>166597</v>
      </c>
      <c r="O331" s="187">
        <f t="shared" si="101"/>
        <v>24.41876145</v>
      </c>
      <c r="P331" s="187">
        <f t="shared" si="102"/>
        <v>44.32775457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682250</v>
      </c>
      <c r="M333" s="201">
        <f>IFERROR(__xludf.DUMMYFUNCTION("IMPORTRANGE(""https://docs.google.com/spreadsheets/d/1Yj_ptqi66GCucihVvJfMjLAmec39IyEx_6qawtMGysU/edit?usp=sharing"",""สบก!DL60"")"),375830.0)</f>
        <v>375830</v>
      </c>
      <c r="N333" s="202">
        <f>IFERROR(__xludf.DUMMYFUNCTION("IMPORTRANGE(""https://docs.google.com/spreadsheets/d/1Yj_ptqi66GCucihVvJfMjLAmec39IyEx_6qawtMGysU/edit?usp=sharing"",""สบก!DM60"")"),166597.0)</f>
        <v>166597</v>
      </c>
      <c r="O333" s="203">
        <f>IF(L333&gt;0,N333*100/L333,0)</f>
        <v>24.41876145</v>
      </c>
      <c r="P333" s="203">
        <f>IF(M333&gt;0,N333*100/M333,0)</f>
        <v>44.32775457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IFERROR(__xludf.DUMMYFUNCTION("IMPORTRANGE(""https://docs.google.com/spreadsheets/d/1Yj_ptqi66GCucihVvJfMjLAmec39IyEx_6qawtMGysU/edit?usp=sharing"",""สบก!DH60"")"),306000.0)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IFERROR(__xludf.DUMMYFUNCTION("IMPORTRANGE(""https://docs.google.com/spreadsheets/d/1Yj_ptqi66GCucihVvJfMjLAmec39IyEx_6qawtMGysU/edit?usp=sharing"",""สบก!DI60"")"),376250.0)</f>
        <v>376250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IFERROR(__xludf.DUMMYFUNCTION("IMPORTRANGE(""https://docs.google.com/spreadsheets/d/1Yj_ptqi66GCucihVvJfMjLAmec39IyEx_6qawtMGysU/edit?usp=sharing"",""สบก!DJ60"")"),0.0)</f>
        <v>0</v>
      </c>
      <c r="M337" s="125"/>
      <c r="N337" s="115">
        <f>IFERROR(__xludf.DUMMYFUNCTION("IMPORTRANGE(""https://docs.google.com/spreadsheets/d/1Yj_ptqi66GCucihVvJfMjLAmec39IyEx_6qawtMGysU/edit?usp=sharing"",""สบก!DN60"")"),0.0)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IFERROR(__xludf.DUMMYFUNCTION("IMPORTRANGE(""https://docs.google.com/spreadsheets/d/1SX6NBoVAgQJ6U1MVXOaj8PK2l7WJ3RER9xtqwdhxkhw/edit?usp=sharing"",""จันทบุรี!I234"")"),0.0)</f>
        <v>0</v>
      </c>
      <c r="J339" s="222">
        <f>IFERROR(__xludf.DUMMYFUNCTION("IMPORTRANGE(""https://docs.google.com/spreadsheets/d/1SX6NBoVAgQJ6U1MVXOaj8PK2l7WJ3RER9xtqwdhxkhw/edit?usp=sharing"",""จันทบุรี!J234"")"),28.0)</f>
        <v>28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IFERROR(__xludf.DUMMYFUNCTION("IMPORTRANGE(""https://docs.google.com/spreadsheets/d/1SX6NBoVAgQJ6U1MVXOaj8PK2l7WJ3RER9xtqwdhxkhw/edit?usp=sharing"",""จันทบุรี!I235"")"),2250.0)</f>
        <v>2250</v>
      </c>
      <c r="J340" s="222">
        <f>IFERROR(__xludf.DUMMYFUNCTION("IMPORTRANGE(""https://docs.google.com/spreadsheets/d/1SX6NBoVAgQJ6U1MVXOaj8PK2l7WJ3RER9xtqwdhxkhw/edit?usp=sharing"",""จันทบุรี!J235"")"),390.2)</f>
        <v>390.2</v>
      </c>
      <c r="K340" s="375">
        <f t="shared" si="104"/>
        <v>17.34222222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IFERROR(__xludf.DUMMYFUNCTION("IMPORTRANGE(""https://docs.google.com/spreadsheets/d/1SX6NBoVAgQJ6U1MVXOaj8PK2l7WJ3RER9xtqwdhxkhw/edit?usp=sharing"",""จันทบุรี!I236"")"),160.0)</f>
        <v>160</v>
      </c>
      <c r="J341" s="222">
        <f>IFERROR(__xludf.DUMMYFUNCTION("IMPORTRANGE(""https://docs.google.com/spreadsheets/d/1SX6NBoVAgQJ6U1MVXOaj8PK2l7WJ3RER9xtqwdhxkhw/edit?usp=sharing"",""จันทบุรี!J236"")"),15.0)</f>
        <v>15</v>
      </c>
      <c r="K341" s="375">
        <f t="shared" si="104"/>
        <v>9.375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IFERROR(__xludf.DUMMYFUNCTION("IMPORTRANGE(""https://docs.google.com/spreadsheets/d/1SX6NBoVAgQJ6U1MVXOaj8PK2l7WJ3RER9xtqwdhxkhw/edit?usp=sharing"",""จันทบุรี!I237"")"),0.0)</f>
        <v>0</v>
      </c>
      <c r="J342" s="222">
        <f>IFERROR(__xludf.DUMMYFUNCTION("IMPORTRANGE(""https://docs.google.com/spreadsheets/d/1SX6NBoVAgQJ6U1MVXOaj8PK2l7WJ3RER9xtqwdhxkhw/edit?usp=sharing"",""จันทบุรี!J237"")"),205.66000000000003)</f>
        <v>205.66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IFERROR(__xludf.DUMMYFUNCTION("IMPORTRANGE(""https://docs.google.com/spreadsheets/d/1SX6NBoVAgQJ6U1MVXOaj8PK2l7WJ3RER9xtqwdhxkhw/edit?usp=sharing"",""จันทบุรี!I238"")"),160.0)</f>
        <v>160</v>
      </c>
      <c r="J343" s="222">
        <f>IFERROR(__xludf.DUMMYFUNCTION("IMPORTRANGE(""https://docs.google.com/spreadsheets/d/1SX6NBoVAgQJ6U1MVXOaj8PK2l7WJ3RER9xtqwdhxkhw/edit?usp=sharing"",""จันทบุรี!J238"")"),0.0)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IFERROR(__xludf.DUMMYFUNCTION("IMPORTRANGE(""https://docs.google.com/spreadsheets/d/1SX6NBoVAgQJ6U1MVXOaj8PK2l7WJ3RER9xtqwdhxkhw/edit?usp=sharing"",""จันทบุรี!I239"")"),0.0)</f>
        <v>0</v>
      </c>
      <c r="J344" s="222">
        <f>IFERROR(__xludf.DUMMYFUNCTION("IMPORTRANGE(""https://docs.google.com/spreadsheets/d/1SX6NBoVAgQJ6U1MVXOaj8PK2l7WJ3RER9xtqwdhxkhw/edit?usp=sharing"",""จันทบุรี!J239"")"),0.0)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IFERROR(__xludf.DUMMYFUNCTION("IMPORTRANGE(""https://docs.google.com/spreadsheets/d/1SX6NBoVAgQJ6U1MVXOaj8PK2l7WJ3RER9xtqwdhxkhw/edit?usp=sharing"",""จันทบุรี!I240"")"),160.0)</f>
        <v>160</v>
      </c>
      <c r="J345" s="222">
        <f>IFERROR(__xludf.DUMMYFUNCTION("IMPORTRANGE(""https://docs.google.com/spreadsheets/d/1SX6NBoVAgQJ6U1MVXOaj8PK2l7WJ3RER9xtqwdhxkhw/edit?usp=sharing"",""จันทบุรี!J240"")"),10.0)</f>
        <v>10</v>
      </c>
      <c r="K345" s="375">
        <f t="shared" si="104"/>
        <v>6.25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IFERROR(__xludf.DUMMYFUNCTION("IMPORTRANGE(""https://docs.google.com/spreadsheets/d/1SX6NBoVAgQJ6U1MVXOaj8PK2l7WJ3RER9xtqwdhxkhw/edit?usp=sharing"",""จันทบุรี!I241"")"),0.0)</f>
        <v>0</v>
      </c>
      <c r="J346" s="222">
        <f>IFERROR(__xludf.DUMMYFUNCTION("IMPORTRANGE(""https://docs.google.com/spreadsheets/d/1SX6NBoVAgQJ6U1MVXOaj8PK2l7WJ3RER9xtqwdhxkhw/edit?usp=sharing"",""จันทบุรี!J241"")"),129.33)</f>
        <v>129.33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IFERROR(__xludf.DUMMYFUNCTION("IMPORTRANGE(""https://docs.google.com/spreadsheets/d/1SX6NBoVAgQJ6U1MVXOaj8PK2l7WJ3RER9xtqwdhxkhw/edit?usp=sharing"",""จันทบุรี!L242"")"),1027223.0)</f>
        <v>1027223</v>
      </c>
      <c r="M347" s="391"/>
      <c r="N347" s="391">
        <f>IFERROR(__xludf.DUMMYFUNCTION("IMPORTRANGE(""https://docs.google.com/spreadsheets/d/1SX6NBoVAgQJ6U1MVXOaj8PK2l7WJ3RER9xtqwdhxkhw/edit?usp=sharing"",""จันทบุรี!M242"")"),73965.0)</f>
        <v>73965</v>
      </c>
      <c r="O347" s="391">
        <f>+IF(L347&gt;0,N347*100/L347,0)</f>
        <v>7.200481298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IFERROR(__xludf.DUMMYFUNCTION("IMPORTRANGE(""https://docs.google.com/spreadsheets/d/1SX6NBoVAgQJ6U1MVXOaj8PK2l7WJ3RER9xtqwdhxkhw/edit?usp=sharing"",""จันทบุรี!I244"")"),0.0)</f>
        <v>0</v>
      </c>
      <c r="J349" s="404">
        <f>IFERROR(__xludf.DUMMYFUNCTION("IMPORTRANGE(""https://docs.google.com/spreadsheets/d/1SX6NBoVAgQJ6U1MVXOaj8PK2l7WJ3RER9xtqwdhxkhw/edit?usp=sharing"",""จันทบุรี!J244"")"),0.0)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IFERROR(__xludf.DUMMYFUNCTION("IMPORTRANGE(""https://docs.google.com/spreadsheets/d/1SX6NBoVAgQJ6U1MVXOaj8PK2l7WJ3RER9xtqwdhxkhw/edit?usp=sharing"",""จันทบุรี!L244"")"),0.0)</f>
        <v>0</v>
      </c>
      <c r="M349" s="406"/>
      <c r="N349" s="406">
        <f>IFERROR(__xludf.DUMMYFUNCTION("IMPORTRANGE(""https://docs.google.com/spreadsheets/d/1SX6NBoVAgQJ6U1MVXOaj8PK2l7WJ3RER9xtqwdhxkhw/edit?usp=sharing"",""จันทบุรี!M244"")"),0.0)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IFERROR(__xludf.DUMMYFUNCTION("IMPORTRANGE(""https://docs.google.com/spreadsheets/d/1SX6NBoVAgQJ6U1MVXOaj8PK2l7WJ3RER9xtqwdhxkhw/edit?usp=sharing"",""จันทบุรี!I245"")"),0.0)</f>
        <v>0</v>
      </c>
      <c r="J350" s="404">
        <f>IFERROR(__xludf.DUMMYFUNCTION("IMPORTRANGE(""https://docs.google.com/spreadsheets/d/1SX6NBoVAgQJ6U1MVXOaj8PK2l7WJ3RER9xtqwdhxkhw/edit?usp=sharing"",""จันทบุรี!J245"")"),0.0)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IFERROR(__xludf.DUMMYFUNCTION("IMPORTRANGE(""https://docs.google.com/spreadsheets/d/1SX6NBoVAgQJ6U1MVXOaj8PK2l7WJ3RER9xtqwdhxkhw/edit?usp=sharing"",""จันทบุรี!L246"")"),0.0)</f>
        <v>0</v>
      </c>
      <c r="M351" s="197"/>
      <c r="N351" s="197">
        <f>IFERROR(__xludf.DUMMYFUNCTION("IMPORTRANGE(""https://docs.google.com/spreadsheets/d/1SX6NBoVAgQJ6U1MVXOaj8PK2l7WJ3RER9xtqwdhxkhw/edit?usp=sharing"",""จันทบุรี!M246"")"),0.0)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IFERROR(__xludf.DUMMYFUNCTION("IMPORTRANGE(""https://docs.google.com/spreadsheets/d/1SX6NBoVAgQJ6U1MVXOaj8PK2l7WJ3RER9xtqwdhxkhw/edit?usp=sharing"",""จันทบุรี!L247"")"),0.0)</f>
        <v>0</v>
      </c>
      <c r="M352" s="198"/>
      <c r="N352" s="197">
        <f>IFERROR(__xludf.DUMMYFUNCTION("IMPORTRANGE(""https://docs.google.com/spreadsheets/d/1SX6NBoVAgQJ6U1MVXOaj8PK2l7WJ3RER9xtqwdhxkhw/edit?usp=sharing"",""จันทบุรี!M247"")"),0.0)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IFERROR(__xludf.DUMMYFUNCTION("IMPORTRANGE(""https://docs.google.com/spreadsheets/d/1SX6NBoVAgQJ6U1MVXOaj8PK2l7WJ3RER9xtqwdhxkhw/edit?usp=sharing"",""จันทบุรี!L248"")"),0.0)</f>
        <v>0</v>
      </c>
      <c r="M353" s="203"/>
      <c r="N353" s="203">
        <f>IFERROR(__xludf.DUMMYFUNCTION("IMPORTRANGE(""https://docs.google.com/spreadsheets/d/1SX6NBoVAgQJ6U1MVXOaj8PK2l7WJ3RER9xtqwdhxkhw/edit?usp=sharing"",""จันทบุรี!M248"")"),0.0)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IFERROR(__xludf.DUMMYFUNCTION("IMPORTRANGE(""https://docs.google.com/spreadsheets/d/1SX6NBoVAgQJ6U1MVXOaj8PK2l7WJ3RER9xtqwdhxkhw/edit?usp=sharing"",""จันทบุรี!L249"")"),0.0)</f>
        <v>0</v>
      </c>
      <c r="M354" s="203"/>
      <c r="N354" s="200">
        <f>IFERROR(__xludf.DUMMYFUNCTION("IMPORTRANGE(""https://docs.google.com/spreadsheets/d/1SX6NBoVAgQJ6U1MVXOaj8PK2l7WJ3RER9xtqwdhxkhw/edit?usp=sharing"",""จันทบุรี!M249"")"),0.0)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IFERROR(__xludf.DUMMYFUNCTION("IMPORTRANGE(""https://docs.google.com/spreadsheets/d/1SX6NBoVAgQJ6U1MVXOaj8PK2l7WJ3RER9xtqwdhxkhw/edit?usp=sharing"",""จันทบุรี!M250"")"),0.0)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IFERROR(__xludf.DUMMYFUNCTION("IMPORTRANGE(""https://docs.google.com/spreadsheets/d/1SX6NBoVAgQJ6U1MVXOaj8PK2l7WJ3RER9xtqwdhxkhw/edit?usp=sharing"",""จันทบุรี!M251"")"),0.0)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IFERROR(__xludf.DUMMYFUNCTION("IMPORTRANGE(""https://docs.google.com/spreadsheets/d/1SX6NBoVAgQJ6U1MVXOaj8PK2l7WJ3RER9xtqwdhxkhw/edit?usp=sharing"",""จันทบุรี!M252"")"),0.0)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IFERROR(__xludf.DUMMYFUNCTION("IMPORTRANGE(""https://docs.google.com/spreadsheets/d/1SX6NBoVAgQJ6U1MVXOaj8PK2l7WJ3RER9xtqwdhxkhw/edit?usp=sharing"",""จันทบุรี!M253"")"),0.0)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IFERROR(__xludf.DUMMYFUNCTION("IMPORTRANGE(""https://docs.google.com/spreadsheets/d/1SX6NBoVAgQJ6U1MVXOaj8PK2l7WJ3RER9xtqwdhxkhw/edit?usp=sharing"",""จันทบุรี!J255"")"),0.0)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IFERROR(__xludf.DUMMYFUNCTION("IMPORTRANGE(""https://docs.google.com/spreadsheets/d/1SX6NBoVAgQJ6U1MVXOaj8PK2l7WJ3RER9xtqwdhxkhw/edit?usp=sharing"",""จันทบุรี!J256"")"),0.0)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IFERROR(__xludf.DUMMYFUNCTION("IMPORTRANGE(""https://docs.google.com/spreadsheets/d/1SX6NBoVAgQJ6U1MVXOaj8PK2l7WJ3RER9xtqwdhxkhw/edit?usp=sharing"",""จันทบุรี!J257"")"),0.0)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IFERROR(__xludf.DUMMYFUNCTION("IMPORTRANGE(""https://docs.google.com/spreadsheets/d/1SX6NBoVAgQJ6U1MVXOaj8PK2l7WJ3RER9xtqwdhxkhw/edit?usp=sharing"",""จันทบุรี!J258"")"),0.0)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IFERROR(__xludf.DUMMYFUNCTION("IMPORTRANGE(""https://docs.google.com/spreadsheets/d/1SX6NBoVAgQJ6U1MVXOaj8PK2l7WJ3RER9xtqwdhxkhw/edit?usp=sharing"",""จันทบุรี!J166"")"),0.0)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IFERROR(__xludf.DUMMYFUNCTION("IMPORTRANGE(""https://docs.google.com/spreadsheets/d/1SX6NBoVAgQJ6U1MVXOaj8PK2l7WJ3RER9xtqwdhxkhw/edit?usp=sharing"",""จันทบุรี!J166"")"),0.0)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IFERROR(__xludf.DUMMYFUNCTION("IMPORTRANGE(""https://docs.google.com/spreadsheets/d/1SX6NBoVAgQJ6U1MVXOaj8PK2l7WJ3RER9xtqwdhxkhw/edit?usp=sharing"",""จันทบุรี!J166"")"),0.0)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IFERROR(__xludf.DUMMYFUNCTION("IMPORTRANGE(""https://docs.google.com/spreadsheets/d/1SX6NBoVAgQJ6U1MVXOaj8PK2l7WJ3RER9xtqwdhxkhw/edit?usp=sharing"",""จันทบุรี!J166"")"),0.0)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IFERROR(__xludf.DUMMYFUNCTION("IMPORTRANGE(""https://docs.google.com/spreadsheets/d/1SX6NBoVAgQJ6U1MVXOaj8PK2l7WJ3RER9xtqwdhxkhw/edit?usp=sharing"",""จันทบุรี!I263"")"),0.0)</f>
        <v>0</v>
      </c>
      <c r="J368" s="222">
        <f>IFERROR(__xludf.DUMMYFUNCTION("IMPORTRANGE(""https://docs.google.com/spreadsheets/d/1SX6NBoVAgQJ6U1MVXOaj8PK2l7WJ3RER9xtqwdhxkhw/edit?usp=sharing"",""จันทบุรี!J263"")"),0.0)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IFERROR(__xludf.DUMMYFUNCTION("IMPORTRANGE(""https://docs.google.com/spreadsheets/d/1SX6NBoVAgQJ6U1MVXOaj8PK2l7WJ3RER9xtqwdhxkhw/edit?usp=sharing"",""จันทบุรี!I164"")"),0.0)</f>
        <v>0</v>
      </c>
      <c r="J369" s="238">
        <f>IFERROR(__xludf.DUMMYFUNCTION("IMPORTRANGE(""https://docs.google.com/spreadsheets/d/1SX6NBoVAgQJ6U1MVXOaj8PK2l7WJ3RER9xtqwdhxkhw/edit?usp=sharing"",""จันทบุรี!J164"")"),0.0)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IFERROR(__xludf.DUMMYFUNCTION("IMPORTRANGE(""https://docs.google.com/spreadsheets/d/1SX6NBoVAgQJ6U1MVXOaj8PK2l7WJ3RER9xtqwdhxkhw/edit?usp=sharing"",""จันทบุรี!I265"")"),0.0)</f>
        <v>0</v>
      </c>
      <c r="J370" s="238">
        <f>IFERROR(__xludf.DUMMYFUNCTION("IMPORTRANGE(""https://docs.google.com/spreadsheets/d/1SX6NBoVAgQJ6U1MVXOaj8PK2l7WJ3RER9xtqwdhxkhw/edit?usp=sharing"",""จันทบุรี!J265"")"),0.0)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IFERROR(__xludf.DUMMYFUNCTION("IMPORTRANGE(""https://docs.google.com/spreadsheets/d/1SX6NBoVAgQJ6U1MVXOaj8PK2l7WJ3RER9xtqwdhxkhw/edit?usp=sharing"",""จันทบุรี!I164"")"),0.0)</f>
        <v>0</v>
      </c>
      <c r="J371" s="223">
        <f>IFERROR(__xludf.DUMMYFUNCTION("IMPORTRANGE(""https://docs.google.com/spreadsheets/d/1SX6NBoVAgQJ6U1MVXOaj8PK2l7WJ3RER9xtqwdhxkhw/edit?usp=sharing"",""จันทบุรี!J164"")"),0.0)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IFERROR(__xludf.DUMMYFUNCTION("IMPORTRANGE(""https://docs.google.com/spreadsheets/d/1SX6NBoVAgQJ6U1MVXOaj8PK2l7WJ3RER9xtqwdhxkhw/edit?usp=sharing"",""จันทบุรี!I267"")"),0.0)</f>
        <v>0</v>
      </c>
      <c r="J372" s="223">
        <f>IFERROR(__xludf.DUMMYFUNCTION("IMPORTRANGE(""https://docs.google.com/spreadsheets/d/1SX6NBoVAgQJ6U1MVXOaj8PK2l7WJ3RER9xtqwdhxkhw/edit?usp=sharing"",""จันทบุรี!J267"")"),0.0)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IFERROR(__xludf.DUMMYFUNCTION("IMPORTRANGE(""https://docs.google.com/spreadsheets/d/1SX6NBoVAgQJ6U1MVXOaj8PK2l7WJ3RER9xtqwdhxkhw/edit?usp=sharing"",""จันทบุรี!I164"")"),0.0)</f>
        <v>0</v>
      </c>
      <c r="J373" s="238">
        <f>IFERROR(__xludf.DUMMYFUNCTION("IMPORTRANGE(""https://docs.google.com/spreadsheets/d/1SX6NBoVAgQJ6U1MVXOaj8PK2l7WJ3RER9xtqwdhxkhw/edit?usp=sharing"",""จันทบุรี!J164"")"),0.0)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IFERROR(__xludf.DUMMYFUNCTION("IMPORTRANGE(""https://docs.google.com/spreadsheets/d/1SX6NBoVAgQJ6U1MVXOaj8PK2l7WJ3RER9xtqwdhxkhw/edit?usp=sharing"",""จันทบุรี!I164"")"),0.0)</f>
        <v>0</v>
      </c>
      <c r="J374" s="222">
        <f>IFERROR(__xludf.DUMMYFUNCTION("IMPORTRANGE(""https://docs.google.com/spreadsheets/d/1SX6NBoVAgQJ6U1MVXOaj8PK2l7WJ3RER9xtqwdhxkhw/edit?usp=sharing"",""จันทบุรี!J164"")"),0.0)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IFERROR(__xludf.DUMMYFUNCTION("IMPORTRANGE(""https://docs.google.com/spreadsheets/d/1SX6NBoVAgQJ6U1MVXOaj8PK2l7WJ3RER9xtqwdhxkhw/edit?usp=sharing"",""จันทบุรี!I270"")"),0.0)</f>
        <v>0</v>
      </c>
      <c r="J375" s="222">
        <f>IFERROR(__xludf.DUMMYFUNCTION("IMPORTRANGE(""https://docs.google.com/spreadsheets/d/1SX6NBoVAgQJ6U1MVXOaj8PK2l7WJ3RER9xtqwdhxkhw/edit?usp=sharing"",""จันทบุรี!J270"")"),0.0)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IFERROR(__xludf.DUMMYFUNCTION("IMPORTRANGE(""https://docs.google.com/spreadsheets/d/1SX6NBoVAgQJ6U1MVXOaj8PK2l7WJ3RER9xtqwdhxkhw/edit?usp=sharing"",""จันทบุรี!I271"")"),0.0)</f>
        <v>0</v>
      </c>
      <c r="J376" s="223">
        <f>IFERROR(__xludf.DUMMYFUNCTION("IMPORTRANGE(""https://docs.google.com/spreadsheets/d/1SX6NBoVAgQJ6U1MVXOaj8PK2l7WJ3RER9xtqwdhxkhw/edit?usp=sharing"",""จันทบุรี!J271"")"),0.0)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IFERROR(__xludf.DUMMYFUNCTION("IMPORTRANGE(""https://docs.google.com/spreadsheets/d/1SX6NBoVAgQJ6U1MVXOaj8PK2l7WJ3RER9xtqwdhxkhw/edit?usp=sharing"",""จันทบุรี!I272"")"),0.0)</f>
        <v>0</v>
      </c>
      <c r="J377" s="238">
        <f>IFERROR(__xludf.DUMMYFUNCTION("IMPORTRANGE(""https://docs.google.com/spreadsheets/d/1SX6NBoVAgQJ6U1MVXOaj8PK2l7WJ3RER9xtqwdhxkhw/edit?usp=sharing"",""จันทบุรี!J272"")"),0.0)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IFERROR(__xludf.DUMMYFUNCTION("IMPORTRANGE(""https://docs.google.com/spreadsheets/d/1SX6NBoVAgQJ6U1MVXOaj8PK2l7WJ3RER9xtqwdhxkhw/edit?usp=sharing"",""จันทบุรี!J273"")"),0.0)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IFERROR(__xludf.DUMMYFUNCTION("IMPORTRANGE(""https://docs.google.com/spreadsheets/d/1SX6NBoVAgQJ6U1MVXOaj8PK2l7WJ3RER9xtqwdhxkhw/edit?usp=sharing"",""จันทบุรี!J274"")"),0.0)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IFERROR(__xludf.DUMMYFUNCTION("IMPORTRANGE(""https://docs.google.com/spreadsheets/d/1SX6NBoVAgQJ6U1MVXOaj8PK2l7WJ3RER9xtqwdhxkhw/edit?usp=sharing"",""จันทบุรี!I275"")"),500.0)</f>
        <v>500</v>
      </c>
      <c r="J380" s="404">
        <f>IFERROR(__xludf.DUMMYFUNCTION("IMPORTRANGE(""https://docs.google.com/spreadsheets/d/1SX6NBoVAgQJ6U1MVXOaj8PK2l7WJ3RER9xtqwdhxkhw/edit?usp=sharing"",""จันทบุรี!J275"")"),0.0)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IFERROR(__xludf.DUMMYFUNCTION("IMPORTRANGE(""https://docs.google.com/spreadsheets/d/1SX6NBoVAgQJ6U1MVXOaj8PK2l7WJ3RER9xtqwdhxkhw/edit?usp=sharing"",""จันทบุรี!L275"")"),460140.0)</f>
        <v>460140</v>
      </c>
      <c r="M380" s="406"/>
      <c r="N380" s="406">
        <f>IFERROR(__xludf.DUMMYFUNCTION("IMPORTRANGE(""https://docs.google.com/spreadsheets/d/1SX6NBoVAgQJ6U1MVXOaj8PK2l7WJ3RER9xtqwdhxkhw/edit?usp=sharing"",""จันทบุรี!M275"")"),17720.0)</f>
        <v>17720</v>
      </c>
      <c r="O380" s="406">
        <f>+IF(L380&gt;0,N380*100/L380,0)</f>
        <v>3.851001869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IFERROR(__xludf.DUMMYFUNCTION("IMPORTRANGE(""https://docs.google.com/spreadsheets/d/1SX6NBoVAgQJ6U1MVXOaj8PK2l7WJ3RER9xtqwdhxkhw/edit?usp=sharing"",""จันทบุรี!I276"")"),50.0)</f>
        <v>50</v>
      </c>
      <c r="J381" s="404">
        <f>IFERROR(__xludf.DUMMYFUNCTION("IMPORTRANGE(""https://docs.google.com/spreadsheets/d/1SX6NBoVAgQJ6U1MVXOaj8PK2l7WJ3RER9xtqwdhxkhw/edit?usp=sharing"",""จันทบุรี!J276"")"),0.0)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IFERROR(__xludf.DUMMYFUNCTION("IMPORTRANGE(""https://docs.google.com/spreadsheets/d/1SX6NBoVAgQJ6U1MVXOaj8PK2l7WJ3RER9xtqwdhxkhw/edit?usp=sharing"",""จันทบุรี!L277"")"),0.0)</f>
        <v>0</v>
      </c>
      <c r="M382" s="197"/>
      <c r="N382" s="197">
        <f>IFERROR(__xludf.DUMMYFUNCTION("IMPORTRANGE(""https://docs.google.com/spreadsheets/d/1SX6NBoVAgQJ6U1MVXOaj8PK2l7WJ3RER9xtqwdhxkhw/edit?usp=sharing"",""จันทบุรี!M277"")"),0.0)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IFERROR(__xludf.DUMMYFUNCTION("IMPORTRANGE(""https://docs.google.com/spreadsheets/d/1SX6NBoVAgQJ6U1MVXOaj8PK2l7WJ3RER9xtqwdhxkhw/edit?usp=sharing"",""จันทบุรี!L278"")"),460140.0)</f>
        <v>460140</v>
      </c>
      <c r="M383" s="198"/>
      <c r="N383" s="198">
        <f>IFERROR(__xludf.DUMMYFUNCTION("IMPORTRANGE(""https://docs.google.com/spreadsheets/d/1SX6NBoVAgQJ6U1MVXOaj8PK2l7WJ3RER9xtqwdhxkhw/edit?usp=sharing"",""จันทบุรี!M278"")"),17720.0)</f>
        <v>17720</v>
      </c>
      <c r="O383" s="198">
        <f t="shared" si="110"/>
        <v>3.851001869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IFERROR(__xludf.DUMMYFUNCTION("IMPORTRANGE(""https://docs.google.com/spreadsheets/d/1SX6NBoVAgQJ6U1MVXOaj8PK2l7WJ3RER9xtqwdhxkhw/edit?usp=sharing"",""จันทบุรี!L279"")"),0.0)</f>
        <v>0</v>
      </c>
      <c r="M384" s="203"/>
      <c r="N384" s="203">
        <f>IFERROR(__xludf.DUMMYFUNCTION("IMPORTRANGE(""https://docs.google.com/spreadsheets/d/1SX6NBoVAgQJ6U1MVXOaj8PK2l7WJ3RER9xtqwdhxkhw/edit?usp=sharing"",""จันทบุรี!M279"")"),0.0)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IFERROR(__xludf.DUMMYFUNCTION("IMPORTRANGE(""https://docs.google.com/spreadsheets/d/1SX6NBoVAgQJ6U1MVXOaj8PK2l7WJ3RER9xtqwdhxkhw/edit?usp=sharing"",""จันทบุรี!L280"")"),460140.0)</f>
        <v>460140</v>
      </c>
      <c r="M385" s="203"/>
      <c r="N385" s="200">
        <f>IFERROR(__xludf.DUMMYFUNCTION("IMPORTRANGE(""https://docs.google.com/spreadsheets/d/1SX6NBoVAgQJ6U1MVXOaj8PK2l7WJ3RER9xtqwdhxkhw/edit?usp=sharing"",""จันทบุรี!M280"")"),17720.0)</f>
        <v>17720</v>
      </c>
      <c r="O385" s="203">
        <f t="shared" si="110"/>
        <v>3.851001869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IFERROR(__xludf.DUMMYFUNCTION("IMPORTRANGE(""https://docs.google.com/spreadsheets/d/1SX6NBoVAgQJ6U1MVXOaj8PK2l7WJ3RER9xtqwdhxkhw/edit?usp=sharing"",""จันทบุรี!M281"")"),15260.0)</f>
        <v>15260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IFERROR(__xludf.DUMMYFUNCTION("IMPORTRANGE(""https://docs.google.com/spreadsheets/d/1SX6NBoVAgQJ6U1MVXOaj8PK2l7WJ3RER9xtqwdhxkhw/edit?usp=sharing"",""จันทบุรี!M282"")"),0.0)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IFERROR(__xludf.DUMMYFUNCTION("IMPORTRANGE(""https://docs.google.com/spreadsheets/d/1SX6NBoVAgQJ6U1MVXOaj8PK2l7WJ3RER9xtqwdhxkhw/edit?usp=sharing"",""จันทบุรี!M283"")"),0.0)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IFERROR(__xludf.DUMMYFUNCTION("IMPORTRANGE(""https://docs.google.com/spreadsheets/d/1SX6NBoVAgQJ6U1MVXOaj8PK2l7WJ3RER9xtqwdhxkhw/edit?usp=sharing"",""จันทบุรี!M284"")"),2460.0)</f>
        <v>2460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IFERROR(__xludf.DUMMYFUNCTION("IMPORTRANGE(""https://docs.google.com/spreadsheets/d/1SX6NBoVAgQJ6U1MVXOaj8PK2l7WJ3RER9xtqwdhxkhw/edit?usp=sharing"",""จันทบุรี!J286"")"),0.0)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IFERROR(__xludf.DUMMYFUNCTION("IMPORTRANGE(""https://docs.google.com/spreadsheets/d/1SX6NBoVAgQJ6U1MVXOaj8PK2l7WJ3RER9xtqwdhxkhw/edit?usp=sharing"",""จันทบุรี!J287"")"),1.0)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IFERROR(__xludf.DUMMYFUNCTION("IMPORTRANGE(""https://docs.google.com/spreadsheets/d/1SX6NBoVAgQJ6U1MVXOaj8PK2l7WJ3RER9xtqwdhxkhw/edit?usp=sharing"",""จันทบุรี!J288"")"),1.0)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IFERROR(__xludf.DUMMYFUNCTION("IMPORTRANGE(""https://docs.google.com/spreadsheets/d/1SX6NBoVAgQJ6U1MVXOaj8PK2l7WJ3RER9xtqwdhxkhw/edit?usp=sharing"",""จันทบุรี!J289"")"),1.0)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IFERROR(__xludf.DUMMYFUNCTION("IMPORTRANGE(""https://docs.google.com/spreadsheets/d/1SX6NBoVAgQJ6U1MVXOaj8PK2l7WJ3RER9xtqwdhxkhw/edit?usp=sharing"",""จันทบุรี!I291"")"),50.0)</f>
        <v>50</v>
      </c>
      <c r="J396" s="232">
        <f>IFERROR(__xludf.DUMMYFUNCTION("IMPORTRANGE(""https://docs.google.com/spreadsheets/d/1SX6NBoVAgQJ6U1MVXOaj8PK2l7WJ3RER9xtqwdhxkhw/edit?usp=sharing"",""จันทบุรี!J291"")"),0.0)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IFERROR(__xludf.DUMMYFUNCTION("IMPORTRANGE(""https://docs.google.com/spreadsheets/d/1SX6NBoVAgQJ6U1MVXOaj8PK2l7WJ3RER9xtqwdhxkhw/edit?usp=sharing"",""จันทบุรี!I292"")"),500.0)</f>
        <v>500</v>
      </c>
      <c r="J397" s="232">
        <f>IFERROR(__xludf.DUMMYFUNCTION("IMPORTRANGE(""https://docs.google.com/spreadsheets/d/1SX6NBoVAgQJ6U1MVXOaj8PK2l7WJ3RER9xtqwdhxkhw/edit?usp=sharing"",""จันทบุรี!J292"")"),0.0)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IFERROR(__xludf.DUMMYFUNCTION("IMPORTRANGE(""https://docs.google.com/spreadsheets/d/1SX6NBoVAgQJ6U1MVXOaj8PK2l7WJ3RER9xtqwdhxkhw/edit?usp=sharing"",""จันทบุรี!I293"")"),50.0)</f>
        <v>50</v>
      </c>
      <c r="J398" s="232">
        <f>IFERROR(__xludf.DUMMYFUNCTION("IMPORTRANGE(""https://docs.google.com/spreadsheets/d/1SX6NBoVAgQJ6U1MVXOaj8PK2l7WJ3RER9xtqwdhxkhw/edit?usp=sharing"",""จันทบุรี!J293"")"),0.0)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IFERROR(__xludf.DUMMYFUNCTION("IMPORTRANGE(""https://docs.google.com/spreadsheets/d/1SX6NBoVAgQJ6U1MVXOaj8PK2l7WJ3RER9xtqwdhxkhw/edit?usp=sharing"",""จันทบุรี!J294"")"),0.0)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IFERROR(__xludf.DUMMYFUNCTION("IMPORTRANGE(""https://docs.google.com/spreadsheets/d/1SX6NBoVAgQJ6U1MVXOaj8PK2l7WJ3RER9xtqwdhxkhw/edit?usp=sharing"",""จันทบุรี!J295"")"),0.0)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IFERROR(__xludf.DUMMYFUNCTION("IMPORTRANGE(""https://docs.google.com/spreadsheets/d/1SX6NBoVAgQJ6U1MVXOaj8PK2l7WJ3RER9xtqwdhxkhw/edit?usp=sharing"",""จันทบุรี!I296"")"),120.0)</f>
        <v>120</v>
      </c>
      <c r="J401" s="404">
        <f>IFERROR(__xludf.DUMMYFUNCTION("IMPORTRANGE(""https://docs.google.com/spreadsheets/d/1SX6NBoVAgQJ6U1MVXOaj8PK2l7WJ3RER9xtqwdhxkhw/edit?usp=sharing"",""จันทบุรี!J296"")"),0.0)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IFERROR(__xludf.DUMMYFUNCTION("IMPORTRANGE(""https://docs.google.com/spreadsheets/d/1SX6NBoVAgQJ6U1MVXOaj8PK2l7WJ3RER9xtqwdhxkhw/edit?usp=sharing"",""จันทบุรี!L296"")"),144560.0)</f>
        <v>144560</v>
      </c>
      <c r="M401" s="406"/>
      <c r="N401" s="406">
        <f>IFERROR(__xludf.DUMMYFUNCTION("IMPORTRANGE(""https://docs.google.com/spreadsheets/d/1SX6NBoVAgQJ6U1MVXOaj8PK2l7WJ3RER9xtqwdhxkhw/edit?usp=sharing"",""จันทบุรี!M296"")"),0.0)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IFERROR(__xludf.DUMMYFUNCTION("IMPORTRANGE(""https://docs.google.com/spreadsheets/d/1SX6NBoVAgQJ6U1MVXOaj8PK2l7WJ3RER9xtqwdhxkhw/edit?usp=sharing"",""จันทบุรี!I297"")"),40.0)</f>
        <v>40</v>
      </c>
      <c r="J402" s="404">
        <f>IFERROR(__xludf.DUMMYFUNCTION("IMPORTRANGE(""https://docs.google.com/spreadsheets/d/1SX6NBoVAgQJ6U1MVXOaj8PK2l7WJ3RER9xtqwdhxkhw/edit?usp=sharing"",""จันทบุรี!J297"")"),0.0)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IFERROR(__xludf.DUMMYFUNCTION("IMPORTRANGE(""https://docs.google.com/spreadsheets/d/1SX6NBoVAgQJ6U1MVXOaj8PK2l7WJ3RER9xtqwdhxkhw/edit?usp=sharing"",""จันทบุรี!L298"")"),0.0)</f>
        <v>0</v>
      </c>
      <c r="M403" s="197"/>
      <c r="N403" s="203">
        <f>IFERROR(__xludf.DUMMYFUNCTION("IMPORTRANGE(""https://docs.google.com/spreadsheets/d/1SX6NBoVAgQJ6U1MVXOaj8PK2l7WJ3RER9xtqwdhxkhw/edit?usp=sharing"",""จันทบุรี!M298"")"),0.0)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IFERROR(__xludf.DUMMYFUNCTION("IMPORTRANGE(""https://docs.google.com/spreadsheets/d/1SX6NBoVAgQJ6U1MVXOaj8PK2l7WJ3RER9xtqwdhxkhw/edit?usp=sharing"",""จันทบุรี!L299"")"),144560.0)</f>
        <v>144560</v>
      </c>
      <c r="M404" s="198"/>
      <c r="N404" s="203">
        <f>IFERROR(__xludf.DUMMYFUNCTION("IMPORTRANGE(""https://docs.google.com/spreadsheets/d/1SX6NBoVAgQJ6U1MVXOaj8PK2l7WJ3RER9xtqwdhxkhw/edit?usp=sharing"",""จันทบุรี!M299"")"),0.0)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IFERROR(__xludf.DUMMYFUNCTION("IMPORTRANGE(""https://docs.google.com/spreadsheets/d/1SX6NBoVAgQJ6U1MVXOaj8PK2l7WJ3RER9xtqwdhxkhw/edit?usp=sharing"",""จันทบุรี!L300"")"),0.0)</f>
        <v>0</v>
      </c>
      <c r="M405" s="203"/>
      <c r="N405" s="203">
        <f>IFERROR(__xludf.DUMMYFUNCTION("IMPORTRANGE(""https://docs.google.com/spreadsheets/d/1SX6NBoVAgQJ6U1MVXOaj8PK2l7WJ3RER9xtqwdhxkhw/edit?usp=sharing"",""จันทบุรี!M300"")"),0.0)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IFERROR(__xludf.DUMMYFUNCTION("IMPORTRANGE(""https://docs.google.com/spreadsheets/d/1SX6NBoVAgQJ6U1MVXOaj8PK2l7WJ3RER9xtqwdhxkhw/edit?usp=sharing"",""จันทบุรี!L301"")"),144560.0)</f>
        <v>144560</v>
      </c>
      <c r="M406" s="203"/>
      <c r="N406" s="203">
        <f>IFERROR(__xludf.DUMMYFUNCTION("IMPORTRANGE(""https://docs.google.com/spreadsheets/d/1SX6NBoVAgQJ6U1MVXOaj8PK2l7WJ3RER9xtqwdhxkhw/edit?usp=sharing"",""จันทบุรี!M301"")"),0.0)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IFERROR(__xludf.DUMMYFUNCTION("IMPORTRANGE(""https://docs.google.com/spreadsheets/d/1SX6NBoVAgQJ6U1MVXOaj8PK2l7WJ3RER9xtqwdhxkhw/edit?usp=sharing"",""จันทบุรี!M302"")"),0.0)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IFERROR(__xludf.DUMMYFUNCTION("IMPORTRANGE(""https://docs.google.com/spreadsheets/d/1SX6NBoVAgQJ6U1MVXOaj8PK2l7WJ3RER9xtqwdhxkhw/edit?usp=sharing"",""จันทบุรี!M303"")"),0.0)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IFERROR(__xludf.DUMMYFUNCTION("IMPORTRANGE(""https://docs.google.com/spreadsheets/d/1SX6NBoVAgQJ6U1MVXOaj8PK2l7WJ3RER9xtqwdhxkhw/edit?usp=sharing"",""จันทบุรี!M304"")"),0.0)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IFERROR(__xludf.DUMMYFUNCTION("IMPORTRANGE(""https://docs.google.com/spreadsheets/d/1SX6NBoVAgQJ6U1MVXOaj8PK2l7WJ3RER9xtqwdhxkhw/edit?usp=sharing"",""จันทบุรี!M305"")"),0.0)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IFERROR(__xludf.DUMMYFUNCTION("IMPORTRANGE(""https://docs.google.com/spreadsheets/d/1SX6NBoVAgQJ6U1MVXOaj8PK2l7WJ3RER9xtqwdhxkhw/edit?usp=sharing"",""จันทบุรี!J307"")"),0.0)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IFERROR(__xludf.DUMMYFUNCTION("IMPORTRANGE(""https://docs.google.com/spreadsheets/d/1SX6NBoVAgQJ6U1MVXOaj8PK2l7WJ3RER9xtqwdhxkhw/edit?usp=sharing"",""จันทบุรี!J308"")"),1.0)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IFERROR(__xludf.DUMMYFUNCTION("IMPORTRANGE(""https://docs.google.com/spreadsheets/d/1SX6NBoVAgQJ6U1MVXOaj8PK2l7WJ3RER9xtqwdhxkhw/edit?usp=sharing"",""จันทบุรี!J309"")"),1.0)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IFERROR(__xludf.DUMMYFUNCTION("IMPORTRANGE(""https://docs.google.com/spreadsheets/d/1SX6NBoVAgQJ6U1MVXOaj8PK2l7WJ3RER9xtqwdhxkhw/edit?usp=sharing"",""จันทบุรี!J310"")"),1.0)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IFERROR(__xludf.DUMMYFUNCTION("IMPORTRANGE(""https://docs.google.com/spreadsheets/d/1SX6NBoVAgQJ6U1MVXOaj8PK2l7WJ3RER9xtqwdhxkhw/edit?usp=sharing"",""จันทบุรี!I311"")"),40.0)</f>
        <v>40</v>
      </c>
      <c r="J416" s="235">
        <f>IFERROR(__xludf.DUMMYFUNCTION("IMPORTRANGE(""https://docs.google.com/spreadsheets/d/1SX6NBoVAgQJ6U1MVXOaj8PK2l7WJ3RER9xtqwdhxkhw/edit?usp=sharing"",""จันทบุรี!J311"")"),0.0)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IFERROR(__xludf.DUMMYFUNCTION("IMPORTRANGE(""https://docs.google.com/spreadsheets/d/1SX6NBoVAgQJ6U1MVXOaj8PK2l7WJ3RER9xtqwdhxkhw/edit?usp=sharing"",""จันทบุรี!I312"")"),10.0)</f>
        <v>10</v>
      </c>
      <c r="J417" s="425">
        <f>IFERROR(__xludf.DUMMYFUNCTION("IMPORTRANGE(""https://docs.google.com/spreadsheets/d/1SX6NBoVAgQJ6U1MVXOaj8PK2l7WJ3RER9xtqwdhxkhw/edit?usp=sharing"",""จันทบุรี!J312"")"),0.0)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IFERROR(__xludf.DUMMYFUNCTION("IMPORTRANGE(""https://docs.google.com/spreadsheets/d/1SX6NBoVAgQJ6U1MVXOaj8PK2l7WJ3RER9xtqwdhxkhw/edit?usp=sharing"",""จันทบุรี!I313"")"),30.0)</f>
        <v>30</v>
      </c>
      <c r="J418" s="426">
        <f>IFERROR(__xludf.DUMMYFUNCTION("IMPORTRANGE(""https://docs.google.com/spreadsheets/d/1SX6NBoVAgQJ6U1MVXOaj8PK2l7WJ3RER9xtqwdhxkhw/edit?usp=sharing"",""จันทบุรี!J313"")"),0.0)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IFERROR(__xludf.DUMMYFUNCTION("IMPORTRANGE(""https://docs.google.com/spreadsheets/d/1SX6NBoVAgQJ6U1MVXOaj8PK2l7WJ3RER9xtqwdhxkhw/edit?usp=sharing"",""จันทบุรี!I314"")"),10.0)</f>
        <v>10</v>
      </c>
      <c r="J419" s="427">
        <f>IFERROR(__xludf.DUMMYFUNCTION("IMPORTRANGE(""https://docs.google.com/spreadsheets/d/1SX6NBoVAgQJ6U1MVXOaj8PK2l7WJ3RER9xtqwdhxkhw/edit?usp=sharing"",""จันทบุรี!J314"")"),0.0)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IFERROR(__xludf.DUMMYFUNCTION("IMPORTRANGE(""https://docs.google.com/spreadsheets/d/1SX6NBoVAgQJ6U1MVXOaj8PK2l7WJ3RER9xtqwdhxkhw/edit?usp=sharing"",""จันทบุรี!I315"")"),10.0)</f>
        <v>10</v>
      </c>
      <c r="J420" s="427">
        <f>IFERROR(__xludf.DUMMYFUNCTION("IMPORTRANGE(""https://docs.google.com/spreadsheets/d/1SX6NBoVAgQJ6U1MVXOaj8PK2l7WJ3RER9xtqwdhxkhw/edit?usp=sharing"",""จันทบุรี!J315"")"),0.0)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IFERROR(__xludf.DUMMYFUNCTION("IMPORTRANGE(""https://docs.google.com/spreadsheets/d/1SX6NBoVAgQJ6U1MVXOaj8PK2l7WJ3RER9xtqwdhxkhw/edit?usp=sharing"",""จันทบุรี!I316"")"),20.0)</f>
        <v>20</v>
      </c>
      <c r="J421" s="425">
        <f>IFERROR(__xludf.DUMMYFUNCTION("IMPORTRANGE(""https://docs.google.com/spreadsheets/d/1SX6NBoVAgQJ6U1MVXOaj8PK2l7WJ3RER9xtqwdhxkhw/edit?usp=sharing"",""จันทบุรี!J316"")"),0.0)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IFERROR(__xludf.DUMMYFUNCTION("IMPORTRANGE(""https://docs.google.com/spreadsheets/d/1SX6NBoVAgQJ6U1MVXOaj8PK2l7WJ3RER9xtqwdhxkhw/edit?usp=sharing"",""จันทบุรี!I317"")"),60.0)</f>
        <v>60</v>
      </c>
      <c r="J422" s="426">
        <f>IFERROR(__xludf.DUMMYFUNCTION("IMPORTRANGE(""https://docs.google.com/spreadsheets/d/1SX6NBoVAgQJ6U1MVXOaj8PK2l7WJ3RER9xtqwdhxkhw/edit?usp=sharing"",""จันทบุรี!J317"")"),0.0)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IFERROR(__xludf.DUMMYFUNCTION("IMPORTRANGE(""https://docs.google.com/spreadsheets/d/1SX6NBoVAgQJ6U1MVXOaj8PK2l7WJ3RER9xtqwdhxkhw/edit?usp=sharing"",""จันทบุรี!I318"")"),20.0)</f>
        <v>20</v>
      </c>
      <c r="J423" s="427">
        <f>IFERROR(__xludf.DUMMYFUNCTION("IMPORTRANGE(""https://docs.google.com/spreadsheets/d/1SX6NBoVAgQJ6U1MVXOaj8PK2l7WJ3RER9xtqwdhxkhw/edit?usp=sharing"",""จันทบุรี!J318"")"),0.0)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IFERROR(__xludf.DUMMYFUNCTION("IMPORTRANGE(""https://docs.google.com/spreadsheets/d/1SX6NBoVAgQJ6U1MVXOaj8PK2l7WJ3RER9xtqwdhxkhw/edit?usp=sharing"",""จันทบุรี!I319"")"),20.0)</f>
        <v>20</v>
      </c>
      <c r="J424" s="427">
        <f>IFERROR(__xludf.DUMMYFUNCTION("IMPORTRANGE(""https://docs.google.com/spreadsheets/d/1SX6NBoVAgQJ6U1MVXOaj8PK2l7WJ3RER9xtqwdhxkhw/edit?usp=sharing"",""จันทบุรี!J319"")"),0.0)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IFERROR(__xludf.DUMMYFUNCTION("IMPORTRANGE(""https://docs.google.com/spreadsheets/d/1SX6NBoVAgQJ6U1MVXOaj8PK2l7WJ3RER9xtqwdhxkhw/edit?usp=sharing"",""จันทบุรี!I320"")"),20.0)</f>
        <v>20</v>
      </c>
      <c r="J425" s="427">
        <f>IFERROR(__xludf.DUMMYFUNCTION("IMPORTRANGE(""https://docs.google.com/spreadsheets/d/1SX6NBoVAgQJ6U1MVXOaj8PK2l7WJ3RER9xtqwdhxkhw/edit?usp=sharing"",""จันทบุรี!J320"")"),0.0)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IFERROR(__xludf.DUMMYFUNCTION("IMPORTRANGE(""https://docs.google.com/spreadsheets/d/1SX6NBoVAgQJ6U1MVXOaj8PK2l7WJ3RER9xtqwdhxkhw/edit?usp=sharing"",""จันทบุรี!I321"")"),10.0)</f>
        <v>10</v>
      </c>
      <c r="J426" s="425">
        <f>IFERROR(__xludf.DUMMYFUNCTION("IMPORTRANGE(""https://docs.google.com/spreadsheets/d/1SX6NBoVAgQJ6U1MVXOaj8PK2l7WJ3RER9xtqwdhxkhw/edit?usp=sharing"",""จันทบุรี!J321"")"),0.0)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IFERROR(__xludf.DUMMYFUNCTION("IMPORTRANGE(""https://docs.google.com/spreadsheets/d/1SX6NBoVAgQJ6U1MVXOaj8PK2l7WJ3RER9xtqwdhxkhw/edit?usp=sharing"",""จันทบุรี!I322"")"),30.0)</f>
        <v>30</v>
      </c>
      <c r="J427" s="426">
        <f>IFERROR(__xludf.DUMMYFUNCTION("IMPORTRANGE(""https://docs.google.com/spreadsheets/d/1SX6NBoVAgQJ6U1MVXOaj8PK2l7WJ3RER9xtqwdhxkhw/edit?usp=sharing"",""จันทบุรี!J322"")"),0.0)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IFERROR(__xludf.DUMMYFUNCTION("IMPORTRANGE(""https://docs.google.com/spreadsheets/d/1SX6NBoVAgQJ6U1MVXOaj8PK2l7WJ3RER9xtqwdhxkhw/edit?usp=sharing"",""จันทบุรี!I323"")"),10.0)</f>
        <v>10</v>
      </c>
      <c r="J428" s="427">
        <f>IFERROR(__xludf.DUMMYFUNCTION("IMPORTRANGE(""https://docs.google.com/spreadsheets/d/1SX6NBoVAgQJ6U1MVXOaj8PK2l7WJ3RER9xtqwdhxkhw/edit?usp=sharing"",""จันทบุรี!J323"")"),0.0)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IFERROR(__xludf.DUMMYFUNCTION("IMPORTRANGE(""https://docs.google.com/spreadsheets/d/1SX6NBoVAgQJ6U1MVXOaj8PK2l7WJ3RER9xtqwdhxkhw/edit?usp=sharing"",""จันทบุรี!I324"")"),10.0)</f>
        <v>10</v>
      </c>
      <c r="J429" s="427">
        <f>IFERROR(__xludf.DUMMYFUNCTION("IMPORTRANGE(""https://docs.google.com/spreadsheets/d/1SX6NBoVAgQJ6U1MVXOaj8PK2l7WJ3RER9xtqwdhxkhw/edit?usp=sharing"",""จันทบุรี!J324"")"),0.0)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IFERROR(__xludf.DUMMYFUNCTION("IMPORTRANGE(""https://docs.google.com/spreadsheets/d/1SX6NBoVAgQJ6U1MVXOaj8PK2l7WJ3RER9xtqwdhxkhw/edit?usp=sharing"",""จันทบุรี!I325"")"),30.0)</f>
        <v>30</v>
      </c>
      <c r="J430" s="425">
        <f>IFERROR(__xludf.DUMMYFUNCTION("IMPORTRANGE(""https://docs.google.com/spreadsheets/d/1SX6NBoVAgQJ6U1MVXOaj8PK2l7WJ3RER9xtqwdhxkhw/edit?usp=sharing"",""จันทบุรี!J325"")"),0.0)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IFERROR(__xludf.DUMMYFUNCTION("IMPORTRANGE(""https://docs.google.com/spreadsheets/d/1SX6NBoVAgQJ6U1MVXOaj8PK2l7WJ3RER9xtqwdhxkhw/edit?usp=sharing"",""จันทบุรี!I326"")"),10.0)</f>
        <v>10</v>
      </c>
      <c r="J431" s="427">
        <f>IFERROR(__xludf.DUMMYFUNCTION("IMPORTRANGE(""https://docs.google.com/spreadsheets/d/1SX6NBoVAgQJ6U1MVXOaj8PK2l7WJ3RER9xtqwdhxkhw/edit?usp=sharing"",""จันทบุรี!J326"")"),0.0)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IFERROR(__xludf.DUMMYFUNCTION("IMPORTRANGE(""https://docs.google.com/spreadsheets/d/1SX6NBoVAgQJ6U1MVXOaj8PK2l7WJ3RER9xtqwdhxkhw/edit?usp=sharing"",""จันทบุรี!I327"")"),20.0)</f>
        <v>20</v>
      </c>
      <c r="J432" s="427">
        <f>IFERROR(__xludf.DUMMYFUNCTION("IMPORTRANGE(""https://docs.google.com/spreadsheets/d/1SX6NBoVAgQJ6U1MVXOaj8PK2l7WJ3RER9xtqwdhxkhw/edit?usp=sharing"",""จันทบุรี!J327"")"),0.0)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IFERROR(__xludf.DUMMYFUNCTION("IMPORTRANGE(""https://docs.google.com/spreadsheets/d/1SX6NBoVAgQJ6U1MVXOaj8PK2l7WJ3RER9xtqwdhxkhw/edit?usp=sharing"",""จันทบุรี!J328"")"),0.0)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IFERROR(__xludf.DUMMYFUNCTION("IMPORTRANGE(""https://docs.google.com/spreadsheets/d/1SX6NBoVAgQJ6U1MVXOaj8PK2l7WJ3RER9xtqwdhxkhw/edit?usp=sharing"",""จันทบุรี!J329"")"),0.0)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IFERROR(__xludf.DUMMYFUNCTION("IMPORTRANGE(""https://docs.google.com/spreadsheets/d/1SX6NBoVAgQJ6U1MVXOaj8PK2l7WJ3RER9xtqwdhxkhw/edit?usp=sharing"",""จันทบุรี!I330"")"),20.0)</f>
        <v>20</v>
      </c>
      <c r="J435" s="443">
        <f>IFERROR(__xludf.DUMMYFUNCTION("IMPORTRANGE(""https://docs.google.com/spreadsheets/d/1SX6NBoVAgQJ6U1MVXOaj8PK2l7WJ3RER9xtqwdhxkhw/edit?usp=sharing"",""จันทบุรี!J330"")"),0.0)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IFERROR(__xludf.DUMMYFUNCTION("IMPORTRANGE(""https://docs.google.com/spreadsheets/d/1SX6NBoVAgQJ6U1MVXOaj8PK2l7WJ3RER9xtqwdhxkhw/edit?usp=sharing"",""จันทบุรี!L330"")"),95000.0)</f>
        <v>95000</v>
      </c>
      <c r="M435" s="445"/>
      <c r="N435" s="445">
        <f>IFERROR(__xludf.DUMMYFUNCTION("IMPORTRANGE(""https://docs.google.com/spreadsheets/d/1SX6NBoVAgQJ6U1MVXOaj8PK2l7WJ3RER9xtqwdhxkhw/edit?usp=sharing"",""จันทบุรี!M330"")"),9040.0)</f>
        <v>9040</v>
      </c>
      <c r="O435" s="445">
        <f t="shared" ref="O435:O439" si="115">+IF(L435&gt;0,N435*100/L435,0)</f>
        <v>9.515789474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IFERROR(__xludf.DUMMYFUNCTION("IMPORTRANGE(""https://docs.google.com/spreadsheets/d/1SX6NBoVAgQJ6U1MVXOaj8PK2l7WJ3RER9xtqwdhxkhw/edit?usp=sharing"",""จันทบุรี!L331"")"),0.0)</f>
        <v>0</v>
      </c>
      <c r="M436" s="197"/>
      <c r="N436" s="203">
        <f>IFERROR(__xludf.DUMMYFUNCTION("IMPORTRANGE(""https://docs.google.com/spreadsheets/d/1SX6NBoVAgQJ6U1MVXOaj8PK2l7WJ3RER9xtqwdhxkhw/edit?usp=sharing"",""จันทบุรี!M331"")"),0.0)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IFERROR(__xludf.DUMMYFUNCTION("IMPORTRANGE(""https://docs.google.com/spreadsheets/d/1SX6NBoVAgQJ6U1MVXOaj8PK2l7WJ3RER9xtqwdhxkhw/edit?usp=sharing"",""จันทบุรี!L332"")"),95000.0)</f>
        <v>95000</v>
      </c>
      <c r="M437" s="198"/>
      <c r="N437" s="203">
        <f>IFERROR(__xludf.DUMMYFUNCTION("IMPORTRANGE(""https://docs.google.com/spreadsheets/d/1SX6NBoVAgQJ6U1MVXOaj8PK2l7WJ3RER9xtqwdhxkhw/edit?usp=sharing"",""จันทบุรี!M332"")"),9040.0)</f>
        <v>9040</v>
      </c>
      <c r="O437" s="203">
        <f t="shared" si="115"/>
        <v>9.515789474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IFERROR(__xludf.DUMMYFUNCTION("IMPORTRANGE(""https://docs.google.com/spreadsheets/d/1SX6NBoVAgQJ6U1MVXOaj8PK2l7WJ3RER9xtqwdhxkhw/edit?usp=sharing"",""จันทบุรี!L333"")"),0.0)</f>
        <v>0</v>
      </c>
      <c r="M438" s="203"/>
      <c r="N438" s="203">
        <f>IFERROR(__xludf.DUMMYFUNCTION("IMPORTRANGE(""https://docs.google.com/spreadsheets/d/1SX6NBoVAgQJ6U1MVXOaj8PK2l7WJ3RER9xtqwdhxkhw/edit?usp=sharing"",""จันทบุรี!M333"")"),0.0)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IFERROR(__xludf.DUMMYFUNCTION("IMPORTRANGE(""https://docs.google.com/spreadsheets/d/1SX6NBoVAgQJ6U1MVXOaj8PK2l7WJ3RER9xtqwdhxkhw/edit?usp=sharing"",""จันทบุรี!L334"")"),95000.0)</f>
        <v>95000</v>
      </c>
      <c r="M439" s="203"/>
      <c r="N439" s="203">
        <f>IFERROR(__xludf.DUMMYFUNCTION("IMPORTRANGE(""https://docs.google.com/spreadsheets/d/1SX6NBoVAgQJ6U1MVXOaj8PK2l7WJ3RER9xtqwdhxkhw/edit?usp=sharing"",""จันทบุรี!M334"")"),9040.0)</f>
        <v>9040</v>
      </c>
      <c r="O439" s="203">
        <f t="shared" si="115"/>
        <v>9.515789474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IFERROR(__xludf.DUMMYFUNCTION("IMPORTRANGE(""https://docs.google.com/spreadsheets/d/1SX6NBoVAgQJ6U1MVXOaj8PK2l7WJ3RER9xtqwdhxkhw/edit?usp=sharing"",""จันทบุรี!M335"")"),0.0)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IFERROR(__xludf.DUMMYFUNCTION("IMPORTRANGE(""https://docs.google.com/spreadsheets/d/1SX6NBoVAgQJ6U1MVXOaj8PK2l7WJ3RER9xtqwdhxkhw/edit?usp=sharing"",""จันทบุรี!M336"")"),0.0)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IFERROR(__xludf.DUMMYFUNCTION("IMPORTRANGE(""https://docs.google.com/spreadsheets/d/1SX6NBoVAgQJ6U1MVXOaj8PK2l7WJ3RER9xtqwdhxkhw/edit?usp=sharing"",""จันทบุรี!M337"")"),0.0)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IFERROR(__xludf.DUMMYFUNCTION("IMPORTRANGE(""https://docs.google.com/spreadsheets/d/1SX6NBoVAgQJ6U1MVXOaj8PK2l7WJ3RER9xtqwdhxkhw/edit?usp=sharing"",""จันทบุรี!M338"")"),9040.0)</f>
        <v>9040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IFERROR(__xludf.DUMMYFUNCTION("IMPORTRANGE(""https://docs.google.com/spreadsheets/d/1SX6NBoVAgQJ6U1MVXOaj8PK2l7WJ3RER9xtqwdhxkhw/edit?usp=sharing"",""จันทบุรี!J340"")"),0.0)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IFERROR(__xludf.DUMMYFUNCTION("IMPORTRANGE(""https://docs.google.com/spreadsheets/d/1SX6NBoVAgQJ6U1MVXOaj8PK2l7WJ3RER9xtqwdhxkhw/edit?usp=sharing"",""จันทบุรี!J341"")"),1.0)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IFERROR(__xludf.DUMMYFUNCTION("IMPORTRANGE(""https://docs.google.com/spreadsheets/d/1SX6NBoVAgQJ6U1MVXOaj8PK2l7WJ3RER9xtqwdhxkhw/edit?usp=sharing"",""จันทบุรี!J342"")"),1.0)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IFERROR(__xludf.DUMMYFUNCTION("IMPORTRANGE(""https://docs.google.com/spreadsheets/d/1SX6NBoVAgQJ6U1MVXOaj8PK2l7WJ3RER9xtqwdhxkhw/edit?usp=sharing"",""จันทบุรี!J343"")"),1.0)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IFERROR(__xludf.DUMMYFUNCTION("IMPORTRANGE(""https://docs.google.com/spreadsheets/d/1SX6NBoVAgQJ6U1MVXOaj8PK2l7WJ3RER9xtqwdhxkhw/edit?usp=sharing"",""จันทบุรี!I344"")"),20.0)</f>
        <v>20</v>
      </c>
      <c r="J449" s="235">
        <f>IFERROR(__xludf.DUMMYFUNCTION("IMPORTRANGE(""https://docs.google.com/spreadsheets/d/1SX6NBoVAgQJ6U1MVXOaj8PK2l7WJ3RER9xtqwdhxkhw/edit?usp=sharing"",""จันทบุรี!J344"")"),0.0)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IFERROR(__xludf.DUMMYFUNCTION("IMPORTRANGE(""https://docs.google.com/spreadsheets/d/1SX6NBoVAgQJ6U1MVXOaj8PK2l7WJ3RER9xtqwdhxkhw/edit?usp=sharing"",""จันทบุรี!I345"")"),20.0)</f>
        <v>20</v>
      </c>
      <c r="J450" s="223">
        <f>IFERROR(__xludf.DUMMYFUNCTION("IMPORTRANGE(""https://docs.google.com/spreadsheets/d/1SX6NBoVAgQJ6U1MVXOaj8PK2l7WJ3RER9xtqwdhxkhw/edit?usp=sharing"",""จันทบุรี!J345"")"),0.0)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IFERROR(__xludf.DUMMYFUNCTION("IMPORTRANGE(""https://docs.google.com/spreadsheets/d/1SX6NBoVAgQJ6U1MVXOaj8PK2l7WJ3RER9xtqwdhxkhw/edit?usp=sharing"",""จันทบุรี!I346"")"),0.0)</f>
        <v>0</v>
      </c>
      <c r="J451" s="222">
        <f>IFERROR(__xludf.DUMMYFUNCTION("IMPORTRANGE(""https://docs.google.com/spreadsheets/d/1SX6NBoVAgQJ6U1MVXOaj8PK2l7WJ3RER9xtqwdhxkhw/edit?usp=sharing"",""จันทบุรี!J346"")"),0.0)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IFERROR(__xludf.DUMMYFUNCTION("IMPORTRANGE(""https://docs.google.com/spreadsheets/d/1SX6NBoVAgQJ6U1MVXOaj8PK2l7WJ3RER9xtqwdhxkhw/edit?usp=sharing"",""จันทบุรี!I347"")"),0.0)</f>
        <v>0</v>
      </c>
      <c r="J452" s="222">
        <f>IFERROR(__xludf.DUMMYFUNCTION("IMPORTRANGE(""https://docs.google.com/spreadsheets/d/1SX6NBoVAgQJ6U1MVXOaj8PK2l7WJ3RER9xtqwdhxkhw/edit?usp=sharing"",""จันทบุรี!J347"")"),0.0)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IFERROR(__xludf.DUMMYFUNCTION("IMPORTRANGE(""https://docs.google.com/spreadsheets/d/1SX6NBoVAgQJ6U1MVXOaj8PK2l7WJ3RER9xtqwdhxkhw/edit?usp=sharing"",""จันทบุรี!J348"")"),0.0)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IFERROR(__xludf.DUMMYFUNCTION("IMPORTRANGE(""https://docs.google.com/spreadsheets/d/1SX6NBoVAgQJ6U1MVXOaj8PK2l7WJ3RER9xtqwdhxkhw/edit?usp=sharing"",""จันทบุรี!J349"")"),0.0)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IFERROR(__xludf.DUMMYFUNCTION("IMPORTRANGE(""https://docs.google.com/spreadsheets/d/1SX6NBoVAgQJ6U1MVXOaj8PK2l7WJ3RER9xtqwdhxkhw/edit?usp=sharing"",""จันทบุรี!I350"")"),17519.0)</f>
        <v>17519</v>
      </c>
      <c r="J455" s="404">
        <f>IFERROR(__xludf.DUMMYFUNCTION("IMPORTRANGE(""https://docs.google.com/spreadsheets/d/1SX6NBoVAgQJ6U1MVXOaj8PK2l7WJ3RER9xtqwdhxkhw/edit?usp=sharing"",""จันทบุรี!J350"")"),0.0)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IFERROR(__xludf.DUMMYFUNCTION("IMPORTRANGE(""https://docs.google.com/spreadsheets/d/1SX6NBoVAgQJ6U1MVXOaj8PK2l7WJ3RER9xtqwdhxkhw/edit?usp=sharing"",""จันทบุรี!L350"")"),162553.0)</f>
        <v>162553</v>
      </c>
      <c r="M455" s="406"/>
      <c r="N455" s="406">
        <f>IFERROR(__xludf.DUMMYFUNCTION("IMPORTRANGE(""https://docs.google.com/spreadsheets/d/1SX6NBoVAgQJ6U1MVXOaj8PK2l7WJ3RER9xtqwdhxkhw/edit?usp=sharing"",""จันทบุรี!M350"")"),8000.0)</f>
        <v>8000</v>
      </c>
      <c r="O455" s="406">
        <f t="shared" ref="O455:O459" si="117">+IF(L455&gt;0,N455*100/L455,0)</f>
        <v>4.921471766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IFERROR(__xludf.DUMMYFUNCTION("IMPORTRANGE(""https://docs.google.com/spreadsheets/d/1SX6NBoVAgQJ6U1MVXOaj8PK2l7WJ3RER9xtqwdhxkhw/edit?usp=sharing"",""จันทบุรี!L351"")"),0.0)</f>
        <v>0</v>
      </c>
      <c r="M456" s="197"/>
      <c r="N456" s="203">
        <f>IFERROR(__xludf.DUMMYFUNCTION("IMPORTRANGE(""https://docs.google.com/spreadsheets/d/1SX6NBoVAgQJ6U1MVXOaj8PK2l7WJ3RER9xtqwdhxkhw/edit?usp=sharing"",""จันทบุรี!M351"")"),0.0)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IFERROR(__xludf.DUMMYFUNCTION("IMPORTRANGE(""https://docs.google.com/spreadsheets/d/1SX6NBoVAgQJ6U1MVXOaj8PK2l7WJ3RER9xtqwdhxkhw/edit?usp=sharing"",""จันทบุรี!L352"")"),162553.0)</f>
        <v>162553</v>
      </c>
      <c r="M457" s="198"/>
      <c r="N457" s="203">
        <f>IFERROR(__xludf.DUMMYFUNCTION("IMPORTRANGE(""https://docs.google.com/spreadsheets/d/1SX6NBoVAgQJ6U1MVXOaj8PK2l7WJ3RER9xtqwdhxkhw/edit?usp=sharing"",""จันทบุรี!M352"")"),8000.0)</f>
        <v>8000</v>
      </c>
      <c r="O457" s="203">
        <f t="shared" si="117"/>
        <v>4.921471766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IFERROR(__xludf.DUMMYFUNCTION("IMPORTRANGE(""https://docs.google.com/spreadsheets/d/1SX6NBoVAgQJ6U1MVXOaj8PK2l7WJ3RER9xtqwdhxkhw/edit?usp=sharing"",""จันทบุรี!L353"")"),0.0)</f>
        <v>0</v>
      </c>
      <c r="M458" s="203"/>
      <c r="N458" s="203">
        <f>IFERROR(__xludf.DUMMYFUNCTION("IMPORTRANGE(""https://docs.google.com/spreadsheets/d/1SX6NBoVAgQJ6U1MVXOaj8PK2l7WJ3RER9xtqwdhxkhw/edit?usp=sharing"",""จันทบุรี!M353"")"),0.0)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IFERROR(__xludf.DUMMYFUNCTION("IMPORTRANGE(""https://docs.google.com/spreadsheets/d/1SX6NBoVAgQJ6U1MVXOaj8PK2l7WJ3RER9xtqwdhxkhw/edit?usp=sharing"",""จันทบุรี!L354"")"),162553.0)</f>
        <v>162553</v>
      </c>
      <c r="M459" s="203"/>
      <c r="N459" s="203">
        <f>IFERROR(__xludf.DUMMYFUNCTION("IMPORTRANGE(""https://docs.google.com/spreadsheets/d/1SX6NBoVAgQJ6U1MVXOaj8PK2l7WJ3RER9xtqwdhxkhw/edit?usp=sharing"",""จันทบุรี!M354"")"),8000.0)</f>
        <v>8000</v>
      </c>
      <c r="O459" s="203">
        <f t="shared" si="117"/>
        <v>4.921471766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IFERROR(__xludf.DUMMYFUNCTION("IMPORTRANGE(""https://docs.google.com/spreadsheets/d/1SX6NBoVAgQJ6U1MVXOaj8PK2l7WJ3RER9xtqwdhxkhw/edit?usp=sharing"",""จันทบุรี!M355"")"),0.0)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IFERROR(__xludf.DUMMYFUNCTION("IMPORTRANGE(""https://docs.google.com/spreadsheets/d/1SX6NBoVAgQJ6U1MVXOaj8PK2l7WJ3RER9xtqwdhxkhw/edit?usp=sharing"",""จันทบุรี!M356"")"),0.0)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IFERROR(__xludf.DUMMYFUNCTION("IMPORTRANGE(""https://docs.google.com/spreadsheets/d/1SX6NBoVAgQJ6U1MVXOaj8PK2l7WJ3RER9xtqwdhxkhw/edit?usp=sharing"",""จันทบุรี!M357"")"),0.0)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IFERROR(__xludf.DUMMYFUNCTION("IMPORTRANGE(""https://docs.google.com/spreadsheets/d/1SX6NBoVAgQJ6U1MVXOaj8PK2l7WJ3RER9xtqwdhxkhw/edit?usp=sharing"",""จันทบุรี!M358"")"),8000.0)</f>
        <v>8000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IFERROR(__xludf.DUMMYFUNCTION("IMPORTRANGE(""https://docs.google.com/spreadsheets/d/1SX6NBoVAgQJ6U1MVXOaj8PK2l7WJ3RER9xtqwdhxkhw/edit?usp=sharing"",""จันทบุรี!I359"")"),17519.0)</f>
        <v>17519</v>
      </c>
      <c r="J464" s="301">
        <f>IFERROR(__xludf.DUMMYFUNCTION("IMPORTRANGE(""https://docs.google.com/spreadsheets/d/1SX6NBoVAgQJ6U1MVXOaj8PK2l7WJ3RER9xtqwdhxkhw/edit?usp=sharing"",""จันทบุรี!J359"")"),0.0)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IFERROR(__xludf.DUMMYFUNCTION("IMPORTRANGE(""https://docs.google.com/spreadsheets/d/1SX6NBoVAgQJ6U1MVXOaj8PK2l7WJ3RER9xtqwdhxkhw/edit?usp=sharing"",""จันทบุรี!I360"")"),17519.0)</f>
        <v>17519</v>
      </c>
      <c r="J465" s="453">
        <f>IFERROR(__xludf.DUMMYFUNCTION("IMPORTRANGE(""https://docs.google.com/spreadsheets/d/1SX6NBoVAgQJ6U1MVXOaj8PK2l7WJ3RER9xtqwdhxkhw/edit?usp=sharing"",""จันทบุรี!J360"")"),0.0)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IFERROR(__xludf.DUMMYFUNCTION("IMPORTRANGE(""https://docs.google.com/spreadsheets/d/1SX6NBoVAgQJ6U1MVXOaj8PK2l7WJ3RER9xtqwdhxkhw/edit?usp=sharing"",""จันทบุรี!I361"")"),1421.0)</f>
        <v>1421</v>
      </c>
      <c r="J466" s="453">
        <f>IFERROR(__xludf.DUMMYFUNCTION("IMPORTRANGE(""https://docs.google.com/spreadsheets/d/1SX6NBoVAgQJ6U1MVXOaj8PK2l7WJ3RER9xtqwdhxkhw/edit?usp=sharing"",""จันทบุรี!J361"")"),0.0)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IFERROR(__xludf.DUMMYFUNCTION("IMPORTRANGE(""https://docs.google.com/spreadsheets/d/1SX6NBoVAgQJ6U1MVXOaj8PK2l7WJ3RER9xtqwdhxkhw/edit?usp=sharing"",""จันทบุรี!I362"")"),0.0)</f>
        <v>0</v>
      </c>
      <c r="J467" s="223">
        <f>IFERROR(__xludf.DUMMYFUNCTION("IMPORTRANGE(""https://docs.google.com/spreadsheets/d/1SX6NBoVAgQJ6U1MVXOaj8PK2l7WJ3RER9xtqwdhxkhw/edit?usp=sharing"",""จันทบุรี!J362"")"),0.0)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IFERROR(__xludf.DUMMYFUNCTION("IMPORTRANGE(""https://docs.google.com/spreadsheets/d/1SX6NBoVAgQJ6U1MVXOaj8PK2l7WJ3RER9xtqwdhxkhw/edit?usp=sharing"",""จันทบุรี!I363"")"),0.0)</f>
        <v>0</v>
      </c>
      <c r="J468" s="223">
        <f>IFERROR(__xludf.DUMMYFUNCTION("IMPORTRANGE(""https://docs.google.com/spreadsheets/d/1SX6NBoVAgQJ6U1MVXOaj8PK2l7WJ3RER9xtqwdhxkhw/edit?usp=sharing"",""จันทบุรี!J363"")"),0.0)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IFERROR(__xludf.DUMMYFUNCTION("IMPORTRANGE(""https://docs.google.com/spreadsheets/d/1SX6NBoVAgQJ6U1MVXOaj8PK2l7WJ3RER9xtqwdhxkhw/edit?usp=sharing"",""จันทบุรี!I364"")"),0.0)</f>
        <v>0</v>
      </c>
      <c r="J469" s="223">
        <f>IFERROR(__xludf.DUMMYFUNCTION("IMPORTRANGE(""https://docs.google.com/spreadsheets/d/1SX6NBoVAgQJ6U1MVXOaj8PK2l7WJ3RER9xtqwdhxkhw/edit?usp=sharing"",""จันทบุรี!J364"")"),0.0)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IFERROR(__xludf.DUMMYFUNCTION("IMPORTRANGE(""https://docs.google.com/spreadsheets/d/1SX6NBoVAgQJ6U1MVXOaj8PK2l7WJ3RER9xtqwdhxkhw/edit?usp=sharing"",""จันทบุรี!I365"")"),0.0)</f>
        <v>0</v>
      </c>
      <c r="J470" s="223">
        <f>IFERROR(__xludf.DUMMYFUNCTION("IMPORTRANGE(""https://docs.google.com/spreadsheets/d/1SX6NBoVAgQJ6U1MVXOaj8PK2l7WJ3RER9xtqwdhxkhw/edit?usp=sharing"",""จันทบุรี!J365"")"),0.0)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IFERROR(__xludf.DUMMYFUNCTION("IMPORTRANGE(""https://docs.google.com/spreadsheets/d/1SX6NBoVAgQJ6U1MVXOaj8PK2l7WJ3RER9xtqwdhxkhw/edit?usp=sharing"",""จันทบุรี!I366"")"),0.0)</f>
        <v>0</v>
      </c>
      <c r="J471" s="223">
        <f>IFERROR(__xludf.DUMMYFUNCTION("IMPORTRANGE(""https://docs.google.com/spreadsheets/d/1SX6NBoVAgQJ6U1MVXOaj8PK2l7WJ3RER9xtqwdhxkhw/edit?usp=sharing"",""จันทบุรี!J366"")"),0.0)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IFERROR(__xludf.DUMMYFUNCTION("IMPORTRANGE(""https://docs.google.com/spreadsheets/d/1SX6NBoVAgQJ6U1MVXOaj8PK2l7WJ3RER9xtqwdhxkhw/edit?usp=sharing"",""จันทบุรี!I367"")"),0.0)</f>
        <v>0</v>
      </c>
      <c r="J472" s="223">
        <f>IFERROR(__xludf.DUMMYFUNCTION("IMPORTRANGE(""https://docs.google.com/spreadsheets/d/1SX6NBoVAgQJ6U1MVXOaj8PK2l7WJ3RER9xtqwdhxkhw/edit?usp=sharing"",""จันทบุรี!J367"")"),0.0)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IFERROR(__xludf.DUMMYFUNCTION("IMPORTRANGE(""https://docs.google.com/spreadsheets/d/1SX6NBoVAgQJ6U1MVXOaj8PK2l7WJ3RER9xtqwdhxkhw/edit?usp=sharing"",""จันทบุรี!I368"")"),17519.0)</f>
        <v>17519</v>
      </c>
      <c r="J473" s="453">
        <f>IFERROR(__xludf.DUMMYFUNCTION("IMPORTRANGE(""https://docs.google.com/spreadsheets/d/1SX6NBoVAgQJ6U1MVXOaj8PK2l7WJ3RER9xtqwdhxkhw/edit?usp=sharing"",""จันทบุรี!J368"")"),0.0)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IFERROR(__xludf.DUMMYFUNCTION("IMPORTRANGE(""https://docs.google.com/spreadsheets/d/1SX6NBoVAgQJ6U1MVXOaj8PK2l7WJ3RER9xtqwdhxkhw/edit?usp=sharing"",""จันทบุรี!I369"")"),1421.0)</f>
        <v>1421</v>
      </c>
      <c r="J474" s="453">
        <f>IFERROR(__xludf.DUMMYFUNCTION("IMPORTRANGE(""https://docs.google.com/spreadsheets/d/1SX6NBoVAgQJ6U1MVXOaj8PK2l7WJ3RER9xtqwdhxkhw/edit?usp=sharing"",""จันทบุรี!J369"")"),0.0)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IFERROR(__xludf.DUMMYFUNCTION("IMPORTRANGE(""https://docs.google.com/spreadsheets/d/1SX6NBoVAgQJ6U1MVXOaj8PK2l7WJ3RER9xtqwdhxkhw/edit?usp=sharing"",""จันทบุรี!I370"")"),0.0)</f>
        <v>0</v>
      </c>
      <c r="J475" s="223">
        <f>IFERROR(__xludf.DUMMYFUNCTION("IMPORTRANGE(""https://docs.google.com/spreadsheets/d/1SX6NBoVAgQJ6U1MVXOaj8PK2l7WJ3RER9xtqwdhxkhw/edit?usp=sharing"",""จันทบุรี!J370"")"),0.0)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IFERROR(__xludf.DUMMYFUNCTION("IMPORTRANGE(""https://docs.google.com/spreadsheets/d/1SX6NBoVAgQJ6U1MVXOaj8PK2l7WJ3RER9xtqwdhxkhw/edit?usp=sharing"",""จันทบุรี!I371"")"),0.0)</f>
        <v>0</v>
      </c>
      <c r="J476" s="223">
        <f>IFERROR(__xludf.DUMMYFUNCTION("IMPORTRANGE(""https://docs.google.com/spreadsheets/d/1SX6NBoVAgQJ6U1MVXOaj8PK2l7WJ3RER9xtqwdhxkhw/edit?usp=sharing"",""จันทบุรี!J371"")"),0.0)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IFERROR(__xludf.DUMMYFUNCTION("IMPORTRANGE(""https://docs.google.com/spreadsheets/d/1SX6NBoVAgQJ6U1MVXOaj8PK2l7WJ3RER9xtqwdhxkhw/edit?usp=sharing"",""จันทบุรี!I372"")"),0.0)</f>
        <v>0</v>
      </c>
      <c r="J477" s="223">
        <f>IFERROR(__xludf.DUMMYFUNCTION("IMPORTRANGE(""https://docs.google.com/spreadsheets/d/1SX6NBoVAgQJ6U1MVXOaj8PK2l7WJ3RER9xtqwdhxkhw/edit?usp=sharing"",""จันทบุรี!J372"")"),0.0)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IFERROR(__xludf.DUMMYFUNCTION("IMPORTRANGE(""https://docs.google.com/spreadsheets/d/1SX6NBoVAgQJ6U1MVXOaj8PK2l7WJ3RER9xtqwdhxkhw/edit?usp=sharing"",""จันทบุรี!I373"")"),0.0)</f>
        <v>0</v>
      </c>
      <c r="J478" s="223">
        <f>IFERROR(__xludf.DUMMYFUNCTION("IMPORTRANGE(""https://docs.google.com/spreadsheets/d/1SX6NBoVAgQJ6U1MVXOaj8PK2l7WJ3RER9xtqwdhxkhw/edit?usp=sharing"",""จันทบุรี!J373"")"),0.0)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IFERROR(__xludf.DUMMYFUNCTION("IMPORTRANGE(""https://docs.google.com/spreadsheets/d/1SX6NBoVAgQJ6U1MVXOaj8PK2l7WJ3RER9xtqwdhxkhw/edit?usp=sharing"",""จันทบุรี!I374"")"),0.0)</f>
        <v>0</v>
      </c>
      <c r="J479" s="223">
        <f>IFERROR(__xludf.DUMMYFUNCTION("IMPORTRANGE(""https://docs.google.com/spreadsheets/d/1SX6NBoVAgQJ6U1MVXOaj8PK2l7WJ3RER9xtqwdhxkhw/edit?usp=sharing"",""จันทบุรี!J374"")"),0.0)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IFERROR(__xludf.DUMMYFUNCTION("IMPORTRANGE(""https://docs.google.com/spreadsheets/d/1SX6NBoVAgQJ6U1MVXOaj8PK2l7WJ3RER9xtqwdhxkhw/edit?usp=sharing"",""จันทบุรี!I375"")"),0.0)</f>
        <v>0</v>
      </c>
      <c r="J480" s="223">
        <f>IFERROR(__xludf.DUMMYFUNCTION("IMPORTRANGE(""https://docs.google.com/spreadsheets/d/1SX6NBoVAgQJ6U1MVXOaj8PK2l7WJ3RER9xtqwdhxkhw/edit?usp=sharing"",""จันทบุรี!J375"")"),0.0)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IFERROR(__xludf.DUMMYFUNCTION("IMPORTRANGE(""https://docs.google.com/spreadsheets/d/1SX6NBoVAgQJ6U1MVXOaj8PK2l7WJ3RER9xtqwdhxkhw/edit?usp=sharing"",""จันทบุรี!I376"")"),17519.0)</f>
        <v>17519</v>
      </c>
      <c r="J481" s="453">
        <f>IFERROR(__xludf.DUMMYFUNCTION("IMPORTRANGE(""https://docs.google.com/spreadsheets/d/1SX6NBoVAgQJ6U1MVXOaj8PK2l7WJ3RER9xtqwdhxkhw/edit?usp=sharing"",""จันทบุรี!J376"")"),0.0)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IFERROR(__xludf.DUMMYFUNCTION("IMPORTRANGE(""https://docs.google.com/spreadsheets/d/1SX6NBoVAgQJ6U1MVXOaj8PK2l7WJ3RER9xtqwdhxkhw/edit?usp=sharing"",""จันทบุรี!I377"")"),1421.0)</f>
        <v>1421</v>
      </c>
      <c r="J482" s="453">
        <f>IFERROR(__xludf.DUMMYFUNCTION("IMPORTRANGE(""https://docs.google.com/spreadsheets/d/1SX6NBoVAgQJ6U1MVXOaj8PK2l7WJ3RER9xtqwdhxkhw/edit?usp=sharing"",""จันทบุรี!J377"")"),0.0)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IFERROR(__xludf.DUMMYFUNCTION("IMPORTRANGE(""https://docs.google.com/spreadsheets/d/1SX6NBoVAgQJ6U1MVXOaj8PK2l7WJ3RER9xtqwdhxkhw/edit?usp=sharing"",""จันทบุรี!I378"")"),0.0)</f>
        <v>0</v>
      </c>
      <c r="J483" s="223">
        <f>IFERROR(__xludf.DUMMYFUNCTION("IMPORTRANGE(""https://docs.google.com/spreadsheets/d/1SX6NBoVAgQJ6U1MVXOaj8PK2l7WJ3RER9xtqwdhxkhw/edit?usp=sharing"",""จันทบุรี!J378"")"),0.0)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IFERROR(__xludf.DUMMYFUNCTION("IMPORTRANGE(""https://docs.google.com/spreadsheets/d/1SX6NBoVAgQJ6U1MVXOaj8PK2l7WJ3RER9xtqwdhxkhw/edit?usp=sharing"",""จันทบุรี!I379"")"),0.0)</f>
        <v>0</v>
      </c>
      <c r="J484" s="223">
        <f>IFERROR(__xludf.DUMMYFUNCTION("IMPORTRANGE(""https://docs.google.com/spreadsheets/d/1SX6NBoVAgQJ6U1MVXOaj8PK2l7WJ3RER9xtqwdhxkhw/edit?usp=sharing"",""จันทบุรี!J379"")"),0.0)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IFERROR(__xludf.DUMMYFUNCTION("IMPORTRANGE(""https://docs.google.com/spreadsheets/d/1SX6NBoVAgQJ6U1MVXOaj8PK2l7WJ3RER9xtqwdhxkhw/edit?usp=sharing"",""จันทบุรี!I380"")"),0.0)</f>
        <v>0</v>
      </c>
      <c r="J485" s="223">
        <f>IFERROR(__xludf.DUMMYFUNCTION("IMPORTRANGE(""https://docs.google.com/spreadsheets/d/1SX6NBoVAgQJ6U1MVXOaj8PK2l7WJ3RER9xtqwdhxkhw/edit?usp=sharing"",""จันทบุรี!J380"")"),0.0)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IFERROR(__xludf.DUMMYFUNCTION("IMPORTRANGE(""https://docs.google.com/spreadsheets/d/1SX6NBoVAgQJ6U1MVXOaj8PK2l7WJ3RER9xtqwdhxkhw/edit?usp=sharing"",""จันทบุรี!I381"")"),0.0)</f>
        <v>0</v>
      </c>
      <c r="J486" s="223">
        <f>IFERROR(__xludf.DUMMYFUNCTION("IMPORTRANGE(""https://docs.google.com/spreadsheets/d/1SX6NBoVAgQJ6U1MVXOaj8PK2l7WJ3RER9xtqwdhxkhw/edit?usp=sharing"",""จันทบุรี!J381"")"),0.0)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IFERROR(__xludf.DUMMYFUNCTION("IMPORTRANGE(""https://docs.google.com/spreadsheets/d/1SX6NBoVAgQJ6U1MVXOaj8PK2l7WJ3RER9xtqwdhxkhw/edit?usp=sharing"",""จันทบุรี!I382"")"),0.0)</f>
        <v>0</v>
      </c>
      <c r="J487" s="453">
        <f>IFERROR(__xludf.DUMMYFUNCTION("IMPORTRANGE(""https://docs.google.com/spreadsheets/d/1SX6NBoVAgQJ6U1MVXOaj8PK2l7WJ3RER9xtqwdhxkhw/edit?usp=sharing"",""จันทบุรี!J382"")"),0.0)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IFERROR(__xludf.DUMMYFUNCTION("IMPORTRANGE(""https://docs.google.com/spreadsheets/d/1SX6NBoVAgQJ6U1MVXOaj8PK2l7WJ3RER9xtqwdhxkhw/edit?usp=sharing"",""จันทบุรี!I383"")"),0.0)</f>
        <v>0</v>
      </c>
      <c r="J488" s="453">
        <f>IFERROR(__xludf.DUMMYFUNCTION("IMPORTRANGE(""https://docs.google.com/spreadsheets/d/1SX6NBoVAgQJ6U1MVXOaj8PK2l7WJ3RER9xtqwdhxkhw/edit?usp=sharing"",""จันทบุรี!J383"")"),0.0)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IFERROR(__xludf.DUMMYFUNCTION("IMPORTRANGE(""https://docs.google.com/spreadsheets/d/1SX6NBoVAgQJ6U1MVXOaj8PK2l7WJ3RER9xtqwdhxkhw/edit?usp=sharing"",""จันทบุรี!I384"")"),0.0)</f>
        <v>0</v>
      </c>
      <c r="J489" s="223">
        <f>IFERROR(__xludf.DUMMYFUNCTION("IMPORTRANGE(""https://docs.google.com/spreadsheets/d/1SX6NBoVAgQJ6U1MVXOaj8PK2l7WJ3RER9xtqwdhxkhw/edit?usp=sharing"",""จันทบุรี!J384"")"),0.0)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IFERROR(__xludf.DUMMYFUNCTION("IMPORTRANGE(""https://docs.google.com/spreadsheets/d/1SX6NBoVAgQJ6U1MVXOaj8PK2l7WJ3RER9xtqwdhxkhw/edit?usp=sharing"",""จันทบุรี!I385"")"),0.0)</f>
        <v>0</v>
      </c>
      <c r="J490" s="223">
        <f>IFERROR(__xludf.DUMMYFUNCTION("IMPORTRANGE(""https://docs.google.com/spreadsheets/d/1SX6NBoVAgQJ6U1MVXOaj8PK2l7WJ3RER9xtqwdhxkhw/edit?usp=sharing"",""จันทบุรี!J385"")"),0.0)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IFERROR(__xludf.DUMMYFUNCTION("IMPORTRANGE(""https://docs.google.com/spreadsheets/d/1SX6NBoVAgQJ6U1MVXOaj8PK2l7WJ3RER9xtqwdhxkhw/edit?usp=sharing"",""จันทบุรี!I386"")"),0.0)</f>
        <v>0</v>
      </c>
      <c r="J491" s="223">
        <f>IFERROR(__xludf.DUMMYFUNCTION("IMPORTRANGE(""https://docs.google.com/spreadsheets/d/1SX6NBoVAgQJ6U1MVXOaj8PK2l7WJ3RER9xtqwdhxkhw/edit?usp=sharing"",""จันทบุรี!J386"")"),0.0)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IFERROR(__xludf.DUMMYFUNCTION("IMPORTRANGE(""https://docs.google.com/spreadsheets/d/1SX6NBoVAgQJ6U1MVXOaj8PK2l7WJ3RER9xtqwdhxkhw/edit?usp=sharing"",""จันทบุรี!I387"")"),0.0)</f>
        <v>0</v>
      </c>
      <c r="J492" s="223">
        <f>IFERROR(__xludf.DUMMYFUNCTION("IMPORTRANGE(""https://docs.google.com/spreadsheets/d/1SX6NBoVAgQJ6U1MVXOaj8PK2l7WJ3RER9xtqwdhxkhw/edit?usp=sharing"",""จันทบุรี!J387"")"),0.0)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IFERROR(__xludf.DUMMYFUNCTION("IMPORTRANGE(""https://docs.google.com/spreadsheets/d/1SX6NBoVAgQJ6U1MVXOaj8PK2l7WJ3RER9xtqwdhxkhw/edit?usp=sharing"",""จันทบุรี!I388"")"),0.0)</f>
        <v>0</v>
      </c>
      <c r="J493" s="223">
        <f>IFERROR(__xludf.DUMMYFUNCTION("IMPORTRANGE(""https://docs.google.com/spreadsheets/d/1SX6NBoVAgQJ6U1MVXOaj8PK2l7WJ3RER9xtqwdhxkhw/edit?usp=sharing"",""จันทบุรี!J388"")"),0.0)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IFERROR(__xludf.DUMMYFUNCTION("IMPORTRANGE(""https://docs.google.com/spreadsheets/d/1SX6NBoVAgQJ6U1MVXOaj8PK2l7WJ3RER9xtqwdhxkhw/edit?usp=sharing"",""จันทบุรี!I389"")"),0.0)</f>
        <v>0</v>
      </c>
      <c r="J494" s="469">
        <f>IFERROR(__xludf.DUMMYFUNCTION("IMPORTRANGE(""https://docs.google.com/spreadsheets/d/1SX6NBoVAgQJ6U1MVXOaj8PK2l7WJ3RER9xtqwdhxkhw/edit?usp=sharing"",""จันทบุรี!J389"")"),0.0)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IFERROR(__xludf.DUMMYFUNCTION("IMPORTRANGE(""https://docs.google.com/spreadsheets/d/1SX6NBoVAgQJ6U1MVXOaj8PK2l7WJ3RER9xtqwdhxkhw/edit?usp=sharing"",""จันทบุรี!I390"")"),0.0)</f>
        <v>0</v>
      </c>
      <c r="J495" s="469">
        <f>IFERROR(__xludf.DUMMYFUNCTION("IMPORTRANGE(""https://docs.google.com/spreadsheets/d/1SX6NBoVAgQJ6U1MVXOaj8PK2l7WJ3RER9xtqwdhxkhw/edit?usp=sharing"",""จันทบุรี!J390"")"),0.0)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IFERROR(__xludf.DUMMYFUNCTION("IMPORTRANGE(""https://docs.google.com/spreadsheets/d/1SX6NBoVAgQJ6U1MVXOaj8PK2l7WJ3RER9xtqwdhxkhw/edit?usp=sharing"",""จันทบุรี!I391"")"),0.0)</f>
        <v>0</v>
      </c>
      <c r="J496" s="469">
        <f>IFERROR(__xludf.DUMMYFUNCTION("IMPORTRANGE(""https://docs.google.com/spreadsheets/d/1SX6NBoVAgQJ6U1MVXOaj8PK2l7WJ3RER9xtqwdhxkhw/edit?usp=sharing"",""จันทบุรี!J391"")"),0.0)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IFERROR(__xludf.DUMMYFUNCTION("IMPORTRANGE(""https://docs.google.com/spreadsheets/d/1SX6NBoVAgQJ6U1MVXOaj8PK2l7WJ3RER9xtqwdhxkhw/edit?usp=sharing"",""จันทบุรี!I392"")"),784.0)</f>
        <v>784</v>
      </c>
      <c r="J497" s="476">
        <f>IFERROR(__xludf.DUMMYFUNCTION("IMPORTRANGE(""https://docs.google.com/spreadsheets/d/1SX6NBoVAgQJ6U1MVXOaj8PK2l7WJ3RER9xtqwdhxkhw/edit?usp=sharing"",""จันทบุรี!J392"")"),74.0)</f>
        <v>74</v>
      </c>
      <c r="K497" s="477">
        <f t="shared" si="118"/>
        <v>9.43877551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IFERROR(__xludf.DUMMYFUNCTION("IMPORTRANGE(""https://docs.google.com/spreadsheets/d/1SX6NBoVAgQJ6U1MVXOaj8PK2l7WJ3RER9xtqwdhxkhw/edit?usp=sharing"",""จันทบุรี!I393"")"),784.0)</f>
        <v>784</v>
      </c>
      <c r="J498" s="453">
        <f>IFERROR(__xludf.DUMMYFUNCTION("IMPORTRANGE(""https://docs.google.com/spreadsheets/d/1SX6NBoVAgQJ6U1MVXOaj8PK2l7WJ3RER9xtqwdhxkhw/edit?usp=sharing"",""จันทบุรี!J393"")"),74.0)</f>
        <v>74</v>
      </c>
      <c r="K498" s="196">
        <f t="shared" si="118"/>
        <v>9.43877551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IFERROR(__xludf.DUMMYFUNCTION("IMPORTRANGE(""https://docs.google.com/spreadsheets/d/1SX6NBoVAgQJ6U1MVXOaj8PK2l7WJ3RER9xtqwdhxkhw/edit?usp=sharing"",""จันทบุรี!I394"")"),73.0)</f>
        <v>73</v>
      </c>
      <c r="J499" s="453">
        <f>IFERROR(__xludf.DUMMYFUNCTION("IMPORTRANGE(""https://docs.google.com/spreadsheets/d/1SX6NBoVAgQJ6U1MVXOaj8PK2l7WJ3RER9xtqwdhxkhw/edit?usp=sharing"",""จันทบุรี!J394"")"),12.0)</f>
        <v>12</v>
      </c>
      <c r="K499" s="236">
        <f t="shared" si="118"/>
        <v>16.43835616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IFERROR(__xludf.DUMMYFUNCTION("IMPORTRANGE(""https://docs.google.com/spreadsheets/d/1SX6NBoVAgQJ6U1MVXOaj8PK2l7WJ3RER9xtqwdhxkhw/edit?usp=sharing"",""จันทบุรี!I395"")"),0.0)</f>
        <v>0</v>
      </c>
      <c r="J500" s="195">
        <f>IFERROR(__xludf.DUMMYFUNCTION("IMPORTRANGE(""https://docs.google.com/spreadsheets/d/1SX6NBoVAgQJ6U1MVXOaj8PK2l7WJ3RER9xtqwdhxkhw/edit?usp=sharing"",""จันทบุรี!J395"")"),72.0)</f>
        <v>72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IFERROR(__xludf.DUMMYFUNCTION("IMPORTRANGE(""https://docs.google.com/spreadsheets/d/1SX6NBoVAgQJ6U1MVXOaj8PK2l7WJ3RER9xtqwdhxkhw/edit?usp=sharing"",""จันทบุรี!I396"")"),0.0)</f>
        <v>0</v>
      </c>
      <c r="J501" s="195">
        <f>IFERROR(__xludf.DUMMYFUNCTION("IMPORTRANGE(""https://docs.google.com/spreadsheets/d/1SX6NBoVAgQJ6U1MVXOaj8PK2l7WJ3RER9xtqwdhxkhw/edit?usp=sharing"",""จันทบุรี!J396"")"),11.0)</f>
        <v>11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IFERROR(__xludf.DUMMYFUNCTION("IMPORTRANGE(""https://docs.google.com/spreadsheets/d/1SX6NBoVAgQJ6U1MVXOaj8PK2l7WJ3RER9xtqwdhxkhw/edit?usp=sharing"",""จันทบุรี!I397"")"),0.0)</f>
        <v>0</v>
      </c>
      <c r="J502" s="223">
        <f>IFERROR(__xludf.DUMMYFUNCTION("IMPORTRANGE(""https://docs.google.com/spreadsheets/d/1SX6NBoVAgQJ6U1MVXOaj8PK2l7WJ3RER9xtqwdhxkhw/edit?usp=sharing"",""จันทบุรี!J397"")"),72.0)</f>
        <v>72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IFERROR(__xludf.DUMMYFUNCTION("IMPORTRANGE(""https://docs.google.com/spreadsheets/d/1SX6NBoVAgQJ6U1MVXOaj8PK2l7WJ3RER9xtqwdhxkhw/edit?usp=sharing"",""จันทบุรี!I398"")"),0.0)</f>
        <v>0</v>
      </c>
      <c r="J503" s="232">
        <f>IFERROR(__xludf.DUMMYFUNCTION("IMPORTRANGE(""https://docs.google.com/spreadsheets/d/1SX6NBoVAgQJ6U1MVXOaj8PK2l7WJ3RER9xtqwdhxkhw/edit?usp=sharing"",""จันทบุรี!J398"")"),11.0)</f>
        <v>11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IFERROR(__xludf.DUMMYFUNCTION("IMPORTRANGE(""https://docs.google.com/spreadsheets/d/1SX6NBoVAgQJ6U1MVXOaj8PK2l7WJ3RER9xtqwdhxkhw/edit?usp=sharing"",""จันทบุรี!I399"")"),0.0)</f>
        <v>0</v>
      </c>
      <c r="J504" s="223">
        <f>IFERROR(__xludf.DUMMYFUNCTION("IMPORTRANGE(""https://docs.google.com/spreadsheets/d/1SX6NBoVAgQJ6U1MVXOaj8PK2l7WJ3RER9xtqwdhxkhw/edit?usp=sharing"",""จันทบุรี!J399"")"),0.0)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IFERROR(__xludf.DUMMYFUNCTION("IMPORTRANGE(""https://docs.google.com/spreadsheets/d/1SX6NBoVAgQJ6U1MVXOaj8PK2l7WJ3RER9xtqwdhxkhw/edit?usp=sharing"",""จันทบุรี!I400"")"),0.0)</f>
        <v>0</v>
      </c>
      <c r="J505" s="232">
        <f>IFERROR(__xludf.DUMMYFUNCTION("IMPORTRANGE(""https://docs.google.com/spreadsheets/d/1SX6NBoVAgQJ6U1MVXOaj8PK2l7WJ3RER9xtqwdhxkhw/edit?usp=sharing"",""จันทบุรี!J400"")"),0.0)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IFERROR(__xludf.DUMMYFUNCTION("IMPORTRANGE(""https://docs.google.com/spreadsheets/d/1SX6NBoVAgQJ6U1MVXOaj8PK2l7WJ3RER9xtqwdhxkhw/edit?usp=sharing"",""จันทบุรี!I401"")"),0.0)</f>
        <v>0</v>
      </c>
      <c r="J506" s="223">
        <f>IFERROR(__xludf.DUMMYFUNCTION("IMPORTRANGE(""https://docs.google.com/spreadsheets/d/1SX6NBoVAgQJ6U1MVXOaj8PK2l7WJ3RER9xtqwdhxkhw/edit?usp=sharing"",""จันทบุรี!J401"")"),0.0)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IFERROR(__xludf.DUMMYFUNCTION("IMPORTRANGE(""https://docs.google.com/spreadsheets/d/1SX6NBoVAgQJ6U1MVXOaj8PK2l7WJ3RER9xtqwdhxkhw/edit?usp=sharing"",""จันทบุรี!I402"")"),0.0)</f>
        <v>0</v>
      </c>
      <c r="J507" s="232">
        <f>IFERROR(__xludf.DUMMYFUNCTION("IMPORTRANGE(""https://docs.google.com/spreadsheets/d/1SX6NBoVAgQJ6U1MVXOaj8PK2l7WJ3RER9xtqwdhxkhw/edit?usp=sharing"",""จันทบุรี!J402"")"),0.0)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IFERROR(__xludf.DUMMYFUNCTION("IMPORTRANGE(""https://docs.google.com/spreadsheets/d/1SX6NBoVAgQJ6U1MVXOaj8PK2l7WJ3RER9xtqwdhxkhw/edit?usp=sharing"",""จันทบุรี!I403"")"),0.0)</f>
        <v>0</v>
      </c>
      <c r="J508" s="195">
        <f>IFERROR(__xludf.DUMMYFUNCTION("IMPORTRANGE(""https://docs.google.com/spreadsheets/d/1SX6NBoVAgQJ6U1MVXOaj8PK2l7WJ3RER9xtqwdhxkhw/edit?usp=sharing"",""จันทบุรี!J403"")"),2.0)</f>
        <v>2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IFERROR(__xludf.DUMMYFUNCTION("IMPORTRANGE(""https://docs.google.com/spreadsheets/d/1SX6NBoVAgQJ6U1MVXOaj8PK2l7WJ3RER9xtqwdhxkhw/edit?usp=sharing"",""จันทบุรี!I404"")"),0.0)</f>
        <v>0</v>
      </c>
      <c r="J509" s="195">
        <f>IFERROR(__xludf.DUMMYFUNCTION("IMPORTRANGE(""https://docs.google.com/spreadsheets/d/1SX6NBoVAgQJ6U1MVXOaj8PK2l7WJ3RER9xtqwdhxkhw/edit?usp=sharing"",""จันทบุรี!J404"")"),1.0)</f>
        <v>1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IFERROR(__xludf.DUMMYFUNCTION("IMPORTRANGE(""https://docs.google.com/spreadsheets/d/1SX6NBoVAgQJ6U1MVXOaj8PK2l7WJ3RER9xtqwdhxkhw/edit?usp=sharing"",""จันทบุรี!I405"")"),0.0)</f>
        <v>0</v>
      </c>
      <c r="J510" s="232">
        <f>IFERROR(__xludf.DUMMYFUNCTION("IMPORTRANGE(""https://docs.google.com/spreadsheets/d/1SX6NBoVAgQJ6U1MVXOaj8PK2l7WJ3RER9xtqwdhxkhw/edit?usp=sharing"",""จันทบุรี!J405"")"),2.0)</f>
        <v>2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IFERROR(__xludf.DUMMYFUNCTION("IMPORTRANGE(""https://docs.google.com/spreadsheets/d/1SX6NBoVAgQJ6U1MVXOaj8PK2l7WJ3RER9xtqwdhxkhw/edit?usp=sharing"",""จันทบุรี!I406"")"),0.0)</f>
        <v>0</v>
      </c>
      <c r="J511" s="232">
        <f>IFERROR(__xludf.DUMMYFUNCTION("IMPORTRANGE(""https://docs.google.com/spreadsheets/d/1SX6NBoVAgQJ6U1MVXOaj8PK2l7WJ3RER9xtqwdhxkhw/edit?usp=sharing"",""จันทบุรี!J406"")"),1.0)</f>
        <v>1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IFERROR(__xludf.DUMMYFUNCTION("IMPORTRANGE(""https://docs.google.com/spreadsheets/d/1SX6NBoVAgQJ6U1MVXOaj8PK2l7WJ3RER9xtqwdhxkhw/edit?usp=sharing"",""จันทบุรี!I407"")"),0.0)</f>
        <v>0</v>
      </c>
      <c r="J512" s="232">
        <f>IFERROR(__xludf.DUMMYFUNCTION("IMPORTRANGE(""https://docs.google.com/spreadsheets/d/1SX6NBoVAgQJ6U1MVXOaj8PK2l7WJ3RER9xtqwdhxkhw/edit?usp=sharing"",""จันทบุรี!J407"")"),0.0)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IFERROR(__xludf.DUMMYFUNCTION("IMPORTRANGE(""https://docs.google.com/spreadsheets/d/1SX6NBoVAgQJ6U1MVXOaj8PK2l7WJ3RER9xtqwdhxkhw/edit?usp=sharing"",""จันทบุรี!I408"")"),0.0)</f>
        <v>0</v>
      </c>
      <c r="J513" s="232">
        <f>IFERROR(__xludf.DUMMYFUNCTION("IMPORTRANGE(""https://docs.google.com/spreadsheets/d/1SX6NBoVAgQJ6U1MVXOaj8PK2l7WJ3RER9xtqwdhxkhw/edit?usp=sharing"",""จันทบุรี!J408"")"),0.0)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IFERROR(__xludf.DUMMYFUNCTION("IMPORTRANGE(""https://docs.google.com/spreadsheets/d/1SX6NBoVAgQJ6U1MVXOaj8PK2l7WJ3RER9xtqwdhxkhw/edit?usp=sharing"",""จันทบุรี!I409"")"),0.0)</f>
        <v>0</v>
      </c>
      <c r="J514" s="232">
        <f>IFERROR(__xludf.DUMMYFUNCTION("IMPORTRANGE(""https://docs.google.com/spreadsheets/d/1SX6NBoVAgQJ6U1MVXOaj8PK2l7WJ3RER9xtqwdhxkhw/edit?usp=sharing"",""จันทบุรี!J409"")"),0.0)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IFERROR(__xludf.DUMMYFUNCTION("IMPORTRANGE(""https://docs.google.com/spreadsheets/d/1SX6NBoVAgQJ6U1MVXOaj8PK2l7WJ3RER9xtqwdhxkhw/edit?usp=sharing"",""จันทบุรี!I410"")"),0.0)</f>
        <v>0</v>
      </c>
      <c r="J515" s="232">
        <f>IFERROR(__xludf.DUMMYFUNCTION("IMPORTRANGE(""https://docs.google.com/spreadsheets/d/1SX6NBoVAgQJ6U1MVXOaj8PK2l7WJ3RER9xtqwdhxkhw/edit?usp=sharing"",""จันทบุรี!J410"")"),0.0)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IFERROR(__xludf.DUMMYFUNCTION("IMPORTRANGE(""https://docs.google.com/spreadsheets/d/1SX6NBoVAgQJ6U1MVXOaj8PK2l7WJ3RER9xtqwdhxkhw/edit?usp=sharing"",""จันทบุรี!I411"")"),0.0)</f>
        <v>0</v>
      </c>
      <c r="J516" s="301">
        <f>IFERROR(__xludf.DUMMYFUNCTION("IMPORTRANGE(""https://docs.google.com/spreadsheets/d/1SX6NBoVAgQJ6U1MVXOaj8PK2l7WJ3RER9xtqwdhxkhw/edit?usp=sharing"",""จันทบุรี!J411"")"),0.0)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IFERROR(__xludf.DUMMYFUNCTION("IMPORTRANGE(""https://docs.google.com/spreadsheets/d/1SX6NBoVAgQJ6U1MVXOaj8PK2l7WJ3RER9xtqwdhxkhw/edit?usp=sharing"",""จันทบุรี!I412"")"),0.0)</f>
        <v>0</v>
      </c>
      <c r="J517" s="317">
        <f>IFERROR(__xludf.DUMMYFUNCTION("IMPORTRANGE(""https://docs.google.com/spreadsheets/d/1SX6NBoVAgQJ6U1MVXOaj8PK2l7WJ3RER9xtqwdhxkhw/edit?usp=sharing"",""จันทบุรี!J412"")"),0.0)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IFERROR(__xludf.DUMMYFUNCTION("IMPORTRANGE(""https://docs.google.com/spreadsheets/d/1SX6NBoVAgQJ6U1MVXOaj8PK2l7WJ3RER9xtqwdhxkhw/edit?usp=sharing"",""จันทบุรี!I413"")"),0.0)</f>
        <v>0</v>
      </c>
      <c r="J518" s="317">
        <f>IFERROR(__xludf.DUMMYFUNCTION("IMPORTRANGE(""https://docs.google.com/spreadsheets/d/1SX6NBoVAgQJ6U1MVXOaj8PK2l7WJ3RER9xtqwdhxkhw/edit?usp=sharing"",""จันทบุรี!J413"")"),0.0)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IFERROR(__xludf.DUMMYFUNCTION("IMPORTRANGE(""https://docs.google.com/spreadsheets/d/1SX6NBoVAgQJ6U1MVXOaj8PK2l7WJ3RER9xtqwdhxkhw/edit?usp=sharing"",""จันทบุรี!I414"")"),0.0)</f>
        <v>0</v>
      </c>
      <c r="J519" s="222">
        <f>IFERROR(__xludf.DUMMYFUNCTION("IMPORTRANGE(""https://docs.google.com/spreadsheets/d/1SX6NBoVAgQJ6U1MVXOaj8PK2l7WJ3RER9xtqwdhxkhw/edit?usp=sharing"",""จันทบุรี!J414"")"),0.0)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IFERROR(__xludf.DUMMYFUNCTION("IMPORTRANGE(""https://docs.google.com/spreadsheets/d/1SX6NBoVAgQJ6U1MVXOaj8PK2l7WJ3RER9xtqwdhxkhw/edit?usp=sharing"",""จันทบุรี!I415"")"),0.0)</f>
        <v>0</v>
      </c>
      <c r="J520" s="222">
        <f>IFERROR(__xludf.DUMMYFUNCTION("IMPORTRANGE(""https://docs.google.com/spreadsheets/d/1SX6NBoVAgQJ6U1MVXOaj8PK2l7WJ3RER9xtqwdhxkhw/edit?usp=sharing"",""จันทบุรี!J415"")"),0.0)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IFERROR(__xludf.DUMMYFUNCTION("IMPORTRANGE(""https://docs.google.com/spreadsheets/d/1SX6NBoVAgQJ6U1MVXOaj8PK2l7WJ3RER9xtqwdhxkhw/edit?usp=sharing"",""จันทบุรี!I416"")"),0.0)</f>
        <v>0</v>
      </c>
      <c r="J521" s="222">
        <f>IFERROR(__xludf.DUMMYFUNCTION("IMPORTRANGE(""https://docs.google.com/spreadsheets/d/1SX6NBoVAgQJ6U1MVXOaj8PK2l7WJ3RER9xtqwdhxkhw/edit?usp=sharing"",""จันทบุรี!J416"")"),0.0)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IFERROR(__xludf.DUMMYFUNCTION("IMPORTRANGE(""https://docs.google.com/spreadsheets/d/1SX6NBoVAgQJ6U1MVXOaj8PK2l7WJ3RER9xtqwdhxkhw/edit?usp=sharing"",""จันทบุรี!I417"")"),0.0)</f>
        <v>0</v>
      </c>
      <c r="J522" s="222">
        <f>IFERROR(__xludf.DUMMYFUNCTION("IMPORTRANGE(""https://docs.google.com/spreadsheets/d/1SX6NBoVAgQJ6U1MVXOaj8PK2l7WJ3RER9xtqwdhxkhw/edit?usp=sharing"",""จันทบุรี!J417"")"),0.0)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IFERROR(__xludf.DUMMYFUNCTION("IMPORTRANGE(""https://docs.google.com/spreadsheets/d/1SX6NBoVAgQJ6U1MVXOaj8PK2l7WJ3RER9xtqwdhxkhw/edit?usp=sharing"",""จันทบุรี!I418"")"),0.0)</f>
        <v>0</v>
      </c>
      <c r="J523" s="222">
        <f>IFERROR(__xludf.DUMMYFUNCTION("IMPORTRANGE(""https://docs.google.com/spreadsheets/d/1SX6NBoVAgQJ6U1MVXOaj8PK2l7WJ3RER9xtqwdhxkhw/edit?usp=sharing"",""จันทบุรี!J418"")"),0.0)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IFERROR(__xludf.DUMMYFUNCTION("IMPORTRANGE(""https://docs.google.com/spreadsheets/d/1SX6NBoVAgQJ6U1MVXOaj8PK2l7WJ3RER9xtqwdhxkhw/edit?usp=sharing"",""จันทบุรี!I419"")"),0.0)</f>
        <v>0</v>
      </c>
      <c r="J524" s="222">
        <f>IFERROR(__xludf.DUMMYFUNCTION("IMPORTRANGE(""https://docs.google.com/spreadsheets/d/1SX6NBoVAgQJ6U1MVXOaj8PK2l7WJ3RER9xtqwdhxkhw/edit?usp=sharing"",""จันทบุรี!J419"")"),0.0)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IFERROR(__xludf.DUMMYFUNCTION("IMPORTRANGE(""https://docs.google.com/spreadsheets/d/1SX6NBoVAgQJ6U1MVXOaj8PK2l7WJ3RER9xtqwdhxkhw/edit?usp=sharing"",""จันทบุรี!I420"")"),0.0)</f>
        <v>0</v>
      </c>
      <c r="J525" s="317">
        <f>IFERROR(__xludf.DUMMYFUNCTION("IMPORTRANGE(""https://docs.google.com/spreadsheets/d/1SX6NBoVAgQJ6U1MVXOaj8PK2l7WJ3RER9xtqwdhxkhw/edit?usp=sharing"",""จันทบุรี!J420"")"),0.0)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IFERROR(__xludf.DUMMYFUNCTION("IMPORTRANGE(""https://docs.google.com/spreadsheets/d/1SX6NBoVAgQJ6U1MVXOaj8PK2l7WJ3RER9xtqwdhxkhw/edit?usp=sharing"",""จันทบุรี!I421"")"),0.0)</f>
        <v>0</v>
      </c>
      <c r="J526" s="317">
        <f>IFERROR(__xludf.DUMMYFUNCTION("IMPORTRANGE(""https://docs.google.com/spreadsheets/d/1SX6NBoVAgQJ6U1MVXOaj8PK2l7WJ3RER9xtqwdhxkhw/edit?usp=sharing"",""จันทบุรี!J421"")"),0.0)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IFERROR(__xludf.DUMMYFUNCTION("IMPORTRANGE(""https://docs.google.com/spreadsheets/d/1SX6NBoVAgQJ6U1MVXOaj8PK2l7WJ3RER9xtqwdhxkhw/edit?usp=sharing"",""จันทบุรี!I422"")"),0.0)</f>
        <v>0</v>
      </c>
      <c r="J527" s="232">
        <f>IFERROR(__xludf.DUMMYFUNCTION("IMPORTRANGE(""https://docs.google.com/spreadsheets/d/1SX6NBoVAgQJ6U1MVXOaj8PK2l7WJ3RER9xtqwdhxkhw/edit?usp=sharing"",""จันทบุรี!J422"")"),0.0)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IFERROR(__xludf.DUMMYFUNCTION("IMPORTRANGE(""https://docs.google.com/spreadsheets/d/1SX6NBoVAgQJ6U1MVXOaj8PK2l7WJ3RER9xtqwdhxkhw/edit?usp=sharing"",""จันทบุรี!I423"")"),0.0)</f>
        <v>0</v>
      </c>
      <c r="J528" s="232">
        <f>IFERROR(__xludf.DUMMYFUNCTION("IMPORTRANGE(""https://docs.google.com/spreadsheets/d/1SX6NBoVAgQJ6U1MVXOaj8PK2l7WJ3RER9xtqwdhxkhw/edit?usp=sharing"",""จันทบุรี!J423"")"),0.0)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IFERROR(__xludf.DUMMYFUNCTION("IMPORTRANGE(""https://docs.google.com/spreadsheets/d/1SX6NBoVAgQJ6U1MVXOaj8PK2l7WJ3RER9xtqwdhxkhw/edit?usp=sharing"",""จันทบุรี!I424"")"),0.0)</f>
        <v>0</v>
      </c>
      <c r="J529" s="232">
        <f>IFERROR(__xludf.DUMMYFUNCTION("IMPORTRANGE(""https://docs.google.com/spreadsheets/d/1SX6NBoVAgQJ6U1MVXOaj8PK2l7WJ3RER9xtqwdhxkhw/edit?usp=sharing"",""จันทบุรี!J424"")"),0.0)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IFERROR(__xludf.DUMMYFUNCTION("IMPORTRANGE(""https://docs.google.com/spreadsheets/d/1SX6NBoVAgQJ6U1MVXOaj8PK2l7WJ3RER9xtqwdhxkhw/edit?usp=sharing"",""จันทบุรี!I425"")"),0.0)</f>
        <v>0</v>
      </c>
      <c r="J530" s="232">
        <f>IFERROR(__xludf.DUMMYFUNCTION("IMPORTRANGE(""https://docs.google.com/spreadsheets/d/1SX6NBoVAgQJ6U1MVXOaj8PK2l7WJ3RER9xtqwdhxkhw/edit?usp=sharing"",""จันทบุรี!J425"")"),0.0)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IFERROR(__xludf.DUMMYFUNCTION("IMPORTRANGE(""https://docs.google.com/spreadsheets/d/1SX6NBoVAgQJ6U1MVXOaj8PK2l7WJ3RER9xtqwdhxkhw/edit?usp=sharing"",""จันทบุรี!I426"")"),0.0)</f>
        <v>0</v>
      </c>
      <c r="J531" s="232">
        <f>IFERROR(__xludf.DUMMYFUNCTION("IMPORTRANGE(""https://docs.google.com/spreadsheets/d/1SX6NBoVAgQJ6U1MVXOaj8PK2l7WJ3RER9xtqwdhxkhw/edit?usp=sharing"",""จันทบุรี!J426"")"),0.0)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IFERROR(__xludf.DUMMYFUNCTION("IMPORTRANGE(""https://docs.google.com/spreadsheets/d/1SX6NBoVAgQJ6U1MVXOaj8PK2l7WJ3RER9xtqwdhxkhw/edit?usp=sharing"",""จันทบุรี!I427"")"),0.0)</f>
        <v>0</v>
      </c>
      <c r="J532" s="499">
        <f>IFERROR(__xludf.DUMMYFUNCTION("IMPORTRANGE(""https://docs.google.com/spreadsheets/d/1SX6NBoVAgQJ6U1MVXOaj8PK2l7WJ3RER9xtqwdhxkhw/edit?usp=sharing"",""จันทบุรี!J427"")"),0.0)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IFERROR(__xludf.DUMMYFUNCTION("IMPORTRANGE(""https://docs.google.com/spreadsheets/d/1SX6NBoVAgQJ6U1MVXOaj8PK2l7WJ3RER9xtqwdhxkhw/edit?usp=sharing"",""จันทบุรี!I428"")"),22.0)</f>
        <v>22</v>
      </c>
      <c r="J533" s="443">
        <f>IFERROR(__xludf.DUMMYFUNCTION("IMPORTRANGE(""https://docs.google.com/spreadsheets/d/1SX6NBoVAgQJ6U1MVXOaj8PK2l7WJ3RER9xtqwdhxkhw/edit?usp=sharing"",""จันทบุรี!J428"")"),22.0)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IFERROR(__xludf.DUMMYFUNCTION("IMPORTRANGE(""https://docs.google.com/spreadsheets/d/1SX6NBoVAgQJ6U1MVXOaj8PK2l7WJ3RER9xtqwdhxkhw/edit?usp=sharing"",""จันทบุรี!L428"")"),34340.0)</f>
        <v>34340</v>
      </c>
      <c r="M533" s="445"/>
      <c r="N533" s="445">
        <f>IFERROR(__xludf.DUMMYFUNCTION("IMPORTRANGE(""https://docs.google.com/spreadsheets/d/1SX6NBoVAgQJ6U1MVXOaj8PK2l7WJ3RER9xtqwdhxkhw/edit?usp=sharing"",""จันทบุรี!M428"")"),22816.0)</f>
        <v>22816</v>
      </c>
      <c r="O533" s="445">
        <f t="shared" ref="O533:O537" si="119">+IF(L533&gt;0,N533*100/L533,0)</f>
        <v>66.44146768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IFERROR(__xludf.DUMMYFUNCTION("IMPORTRANGE(""https://docs.google.com/spreadsheets/d/1SX6NBoVAgQJ6U1MVXOaj8PK2l7WJ3RER9xtqwdhxkhw/edit?usp=sharing"",""จันทบุรี!L429"")"),0.0)</f>
        <v>0</v>
      </c>
      <c r="M534" s="197"/>
      <c r="N534" s="203">
        <f>IFERROR(__xludf.DUMMYFUNCTION("IMPORTRANGE(""https://docs.google.com/spreadsheets/d/1SX6NBoVAgQJ6U1MVXOaj8PK2l7WJ3RER9xtqwdhxkhw/edit?usp=sharing"",""จันทบุรี!M429"")"),0.0)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IFERROR(__xludf.DUMMYFUNCTION("IMPORTRANGE(""https://docs.google.com/spreadsheets/d/1SX6NBoVAgQJ6U1MVXOaj8PK2l7WJ3RER9xtqwdhxkhw/edit?usp=sharing"",""จันทบุรี!L430"")"),34340.0)</f>
        <v>34340</v>
      </c>
      <c r="M535" s="198"/>
      <c r="N535" s="203">
        <f>IFERROR(__xludf.DUMMYFUNCTION("IMPORTRANGE(""https://docs.google.com/spreadsheets/d/1SX6NBoVAgQJ6U1MVXOaj8PK2l7WJ3RER9xtqwdhxkhw/edit?usp=sharing"",""จันทบุรี!M430"")"),22816.0)</f>
        <v>22816</v>
      </c>
      <c r="O535" s="203">
        <f t="shared" si="119"/>
        <v>66.44146768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IFERROR(__xludf.DUMMYFUNCTION("IMPORTRANGE(""https://docs.google.com/spreadsheets/d/1SX6NBoVAgQJ6U1MVXOaj8PK2l7WJ3RER9xtqwdhxkhw/edit?usp=sharing"",""จันทบุรี!L431"")"),0.0)</f>
        <v>0</v>
      </c>
      <c r="M536" s="203"/>
      <c r="N536" s="203">
        <f>IFERROR(__xludf.DUMMYFUNCTION("IMPORTRANGE(""https://docs.google.com/spreadsheets/d/1SX6NBoVAgQJ6U1MVXOaj8PK2l7WJ3RER9xtqwdhxkhw/edit?usp=sharing"",""จันทบุรี!M431"")"),0.0)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IFERROR(__xludf.DUMMYFUNCTION("IMPORTRANGE(""https://docs.google.com/spreadsheets/d/1SX6NBoVAgQJ6U1MVXOaj8PK2l7WJ3RER9xtqwdhxkhw/edit?usp=sharing"",""จันทบุรี!L432"")"),34340.0)</f>
        <v>34340</v>
      </c>
      <c r="M537" s="203"/>
      <c r="N537" s="203">
        <f>IFERROR(__xludf.DUMMYFUNCTION("IMPORTRANGE(""https://docs.google.com/spreadsheets/d/1SX6NBoVAgQJ6U1MVXOaj8PK2l7WJ3RER9xtqwdhxkhw/edit?usp=sharing"",""จันทบุรี!M432"")"),22816.0)</f>
        <v>22816</v>
      </c>
      <c r="O537" s="203">
        <f t="shared" si="119"/>
        <v>66.44146768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IFERROR(__xludf.DUMMYFUNCTION("IMPORTRANGE(""https://docs.google.com/spreadsheets/d/1SX6NBoVAgQJ6U1MVXOaj8PK2l7WJ3RER9xtqwdhxkhw/edit?usp=sharing"",""จันทบุรี!M433"")"),14440.0)</f>
        <v>14440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IFERROR(__xludf.DUMMYFUNCTION("IMPORTRANGE(""https://docs.google.com/spreadsheets/d/1SX6NBoVAgQJ6U1MVXOaj8PK2l7WJ3RER9xtqwdhxkhw/edit?usp=sharing"",""จันทบุรี!M434"")"),0.0)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IFERROR(__xludf.DUMMYFUNCTION("IMPORTRANGE(""https://docs.google.com/spreadsheets/d/1SX6NBoVAgQJ6U1MVXOaj8PK2l7WJ3RER9xtqwdhxkhw/edit?usp=sharing"",""จันทบุรี!M435"")"),0.0)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IFERROR(__xludf.DUMMYFUNCTION("IMPORTRANGE(""https://docs.google.com/spreadsheets/d/1SX6NBoVAgQJ6U1MVXOaj8PK2l7WJ3RER9xtqwdhxkhw/edit?usp=sharing"",""จันทบุรี!M436"")"),8376.0)</f>
        <v>8376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IFERROR(__xludf.DUMMYFUNCTION("IMPORTRANGE(""https://docs.google.com/spreadsheets/d/1SX6NBoVAgQJ6U1MVXOaj8PK2l7WJ3RER9xtqwdhxkhw/edit?usp=sharing"",""จันทบุรี!J438"")"),0.0)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IFERROR(__xludf.DUMMYFUNCTION("IMPORTRANGE(""https://docs.google.com/spreadsheets/d/1SX6NBoVAgQJ6U1MVXOaj8PK2l7WJ3RER9xtqwdhxkhw/edit?usp=sharing"",""จันทบุรี!J439"")"),1.0)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IFERROR(__xludf.DUMMYFUNCTION("IMPORTRANGE(""https://docs.google.com/spreadsheets/d/1SX6NBoVAgQJ6U1MVXOaj8PK2l7WJ3RER9xtqwdhxkhw/edit?usp=sharing"",""จันทบุรี!J440"")"),1.0)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IFERROR(__xludf.DUMMYFUNCTION("IMPORTRANGE(""https://docs.google.com/spreadsheets/d/1SX6NBoVAgQJ6U1MVXOaj8PK2l7WJ3RER9xtqwdhxkhw/edit?usp=sharing"",""จันทบุรี!J441"")"),1.0)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IFERROR(__xludf.DUMMYFUNCTION("IMPORTRANGE(""https://docs.google.com/spreadsheets/d/1SX6NBoVAgQJ6U1MVXOaj8PK2l7WJ3RER9xtqwdhxkhw/edit?usp=sharing"",""จันทบุรี!I442"")"),22.0)</f>
        <v>22</v>
      </c>
      <c r="J547" s="223">
        <f>IFERROR(__xludf.DUMMYFUNCTION("IMPORTRANGE(""https://docs.google.com/spreadsheets/d/1SX6NBoVAgQJ6U1MVXOaj8PK2l7WJ3RER9xtqwdhxkhw/edit?usp=sharing"",""จันทบุรี!J442"")"),22.0)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IFERROR(__xludf.DUMMYFUNCTION("IMPORTRANGE(""https://docs.google.com/spreadsheets/d/1SX6NBoVAgQJ6U1MVXOaj8PK2l7WJ3RER9xtqwdhxkhw/edit?usp=sharing"",""จันทบุรี!J166"")"),0.0)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IFERROR(__xludf.DUMMYFUNCTION("IMPORTRANGE(""https://docs.google.com/spreadsheets/d/1SX6NBoVAgQJ6U1MVXOaj8PK2l7WJ3RER9xtqwdhxkhw/edit?usp=sharing"",""จันทบุรี!J444"")"),0.0)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IFERROR(__xludf.DUMMYFUNCTION("IMPORTRANGE(""https://docs.google.com/spreadsheets/d/1SX6NBoVAgQJ6U1MVXOaj8PK2l7WJ3RER9xtqwdhxkhw/edit?usp=sharing"",""จันทบุรี!J445"")"),0.0)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IFERROR(__xludf.DUMMYFUNCTION("IMPORTRANGE(""https://docs.google.com/spreadsheets/d/1SX6NBoVAgQJ6U1MVXOaj8PK2l7WJ3RER9xtqwdhxkhw/edit?usp=sharing"",""จันทบุรี!I446"")"),0.0)</f>
        <v>0</v>
      </c>
      <c r="J551" s="443">
        <f>IFERROR(__xludf.DUMMYFUNCTION("IMPORTRANGE(""https://docs.google.com/spreadsheets/d/1SX6NBoVAgQJ6U1MVXOaj8PK2l7WJ3RER9xtqwdhxkhw/edit?usp=sharing"",""จันทบุรี!J446"")"),0.0)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IFERROR(__xludf.DUMMYFUNCTION("IMPORTRANGE(""https://docs.google.com/spreadsheets/d/1SX6NBoVAgQJ6U1MVXOaj8PK2l7WJ3RER9xtqwdhxkhw/edit?usp=sharing"",""จันทบุรี!L446"")"),0.0)</f>
        <v>0</v>
      </c>
      <c r="M551" s="445"/>
      <c r="N551" s="445">
        <f>IFERROR(__xludf.DUMMYFUNCTION("IMPORTRANGE(""https://docs.google.com/spreadsheets/d/1SX6NBoVAgQJ6U1MVXOaj8PK2l7WJ3RER9xtqwdhxkhw/edit?usp=sharing"",""จันทบุรี!M446"")"),0.0)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IFERROR(__xludf.DUMMYFUNCTION("IMPORTRANGE(""https://docs.google.com/spreadsheets/d/1SX6NBoVAgQJ6U1MVXOaj8PK2l7WJ3RER9xtqwdhxkhw/edit?usp=sharing"",""จันทบุรี!L447"")"),0.0)</f>
        <v>0</v>
      </c>
      <c r="M552" s="197"/>
      <c r="N552" s="203">
        <f>IFERROR(__xludf.DUMMYFUNCTION("IMPORTRANGE(""https://docs.google.com/spreadsheets/d/1SX6NBoVAgQJ6U1MVXOaj8PK2l7WJ3RER9xtqwdhxkhw/edit?usp=sharing"",""จันทบุรี!M447"")"),0.0)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IFERROR(__xludf.DUMMYFUNCTION("IMPORTRANGE(""https://docs.google.com/spreadsheets/d/1SX6NBoVAgQJ6U1MVXOaj8PK2l7WJ3RER9xtqwdhxkhw/edit?usp=sharing"",""จันทบุรี!L448"")"),0.0)</f>
        <v>0</v>
      </c>
      <c r="M553" s="198"/>
      <c r="N553" s="203">
        <f>IFERROR(__xludf.DUMMYFUNCTION("IMPORTRANGE(""https://docs.google.com/spreadsheets/d/1SX6NBoVAgQJ6U1MVXOaj8PK2l7WJ3RER9xtqwdhxkhw/edit?usp=sharing"",""จันทบุรี!M448"")"),0.0)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IFERROR(__xludf.DUMMYFUNCTION("IMPORTRANGE(""https://docs.google.com/spreadsheets/d/1SX6NBoVAgQJ6U1MVXOaj8PK2l7WJ3RER9xtqwdhxkhw/edit?usp=sharing"",""จันทบุรี!L449"")"),0.0)</f>
        <v>0</v>
      </c>
      <c r="M554" s="203"/>
      <c r="N554" s="203">
        <f>IFERROR(__xludf.DUMMYFUNCTION("IMPORTRANGE(""https://docs.google.com/spreadsheets/d/1SX6NBoVAgQJ6U1MVXOaj8PK2l7WJ3RER9xtqwdhxkhw/edit?usp=sharing"",""จันทบุรี!M449"")"),0.0)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IFERROR(__xludf.DUMMYFUNCTION("IMPORTRANGE(""https://docs.google.com/spreadsheets/d/1SX6NBoVAgQJ6U1MVXOaj8PK2l7WJ3RER9xtqwdhxkhw/edit?usp=sharing"",""จันทบุรี!L450"")"),0.0)</f>
        <v>0</v>
      </c>
      <c r="M555" s="203"/>
      <c r="N555" s="203">
        <f>IFERROR(__xludf.DUMMYFUNCTION("IMPORTRANGE(""https://docs.google.com/spreadsheets/d/1SX6NBoVAgQJ6U1MVXOaj8PK2l7WJ3RER9xtqwdhxkhw/edit?usp=sharing"",""จันทบุรี!M450"")"),0.0)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IFERROR(__xludf.DUMMYFUNCTION("IMPORTRANGE(""https://docs.google.com/spreadsheets/d/1SX6NBoVAgQJ6U1MVXOaj8PK2l7WJ3RER9xtqwdhxkhw/edit?usp=sharing"",""จันทบุรี!M451"")"),0.0)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IFERROR(__xludf.DUMMYFUNCTION("IMPORTRANGE(""https://docs.google.com/spreadsheets/d/1SX6NBoVAgQJ6U1MVXOaj8PK2l7WJ3RER9xtqwdhxkhw/edit?usp=sharing"",""จันทบุรี!M452"")"),0.0)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IFERROR(__xludf.DUMMYFUNCTION("IMPORTRANGE(""https://docs.google.com/spreadsheets/d/1SX6NBoVAgQJ6U1MVXOaj8PK2l7WJ3RER9xtqwdhxkhw/edit?usp=sharing"",""จันทบุรี!M453"")"),0.0)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IFERROR(__xludf.DUMMYFUNCTION("IMPORTRANGE(""https://docs.google.com/spreadsheets/d/1SX6NBoVAgQJ6U1MVXOaj8PK2l7WJ3RER9xtqwdhxkhw/edit?usp=sharing"",""จันทบุรี!M454"")"),0.0)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IFERROR(__xludf.DUMMYFUNCTION("IMPORTRANGE(""https://docs.google.com/spreadsheets/d/1SX6NBoVAgQJ6U1MVXOaj8PK2l7WJ3RER9xtqwdhxkhw/edit?usp=sharing"",""จันทบุรี!I455"")"),0.0)</f>
        <v>0</v>
      </c>
      <c r="J560" s="195">
        <f>IFERROR(__xludf.DUMMYFUNCTION("IMPORTRANGE(""https://docs.google.com/spreadsheets/d/1SX6NBoVAgQJ6U1MVXOaj8PK2l7WJ3RER9xtqwdhxkhw/edit?usp=sharing"",""จันทบุรี!J455"")"),0.0)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IFERROR(__xludf.DUMMYFUNCTION("IMPORTRANGE(""https://docs.google.com/spreadsheets/d/1SX6NBoVAgQJ6U1MVXOaj8PK2l7WJ3RER9xtqwdhxkhw/edit?usp=sharing"",""จันทบุรี!I456"")"),0.0)</f>
        <v>0</v>
      </c>
      <c r="J561" s="238">
        <f>IFERROR(__xludf.DUMMYFUNCTION("IMPORTRANGE(""https://docs.google.com/spreadsheets/d/1SX6NBoVAgQJ6U1MVXOaj8PK2l7WJ3RER9xtqwdhxkhw/edit?usp=sharing"",""จันทบุรี!J456"")"),0.0)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IFERROR(__xludf.DUMMYFUNCTION("IMPORTRANGE(""https://docs.google.com/spreadsheets/d/1SX6NBoVAgQJ6U1MVXOaj8PK2l7WJ3RER9xtqwdhxkhw/edit?usp=sharing"",""จันทบุรี!I457"")"),"")</f>
        <v/>
      </c>
      <c r="J562" s="238" t="str">
        <f>IFERROR(__xludf.DUMMYFUNCTION("IMPORTRANGE(""https://docs.google.com/spreadsheets/d/1SX6NBoVAgQJ6U1MVXOaj8PK2l7WJ3RER9xtqwdhxkhw/edit?usp=sharing"",""จันทบุรี!J457"")"),"")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IFERROR(__xludf.DUMMYFUNCTION("IMPORTRANGE(""https://docs.google.com/spreadsheets/d/1SX6NBoVAgQJ6U1MVXOaj8PK2l7WJ3RER9xtqwdhxkhw/edit?usp=sharing"",""จันทบุรี!I458"")"),"")</f>
        <v/>
      </c>
      <c r="J563" s="222" t="str">
        <f>IFERROR(__xludf.DUMMYFUNCTION("IMPORTRANGE(""https://docs.google.com/spreadsheets/d/1SX6NBoVAgQJ6U1MVXOaj8PK2l7WJ3RER9xtqwdhxkhw/edit?usp=sharing"",""จันทบุรี!J458"")"),"")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IFERROR(__xludf.DUMMYFUNCTION("IMPORTRANGE(""https://docs.google.com/spreadsheets/d/1SX6NBoVAgQJ6U1MVXOaj8PK2l7WJ3RER9xtqwdhxkhw/edit?usp=sharing"",""จันทบุรี!I459"")"),700.0)</f>
        <v>700</v>
      </c>
      <c r="J564" s="404">
        <f>IFERROR(__xludf.DUMMYFUNCTION("IMPORTRANGE(""https://docs.google.com/spreadsheets/d/1SX6NBoVAgQJ6U1MVXOaj8PK2l7WJ3RER9xtqwdhxkhw/edit?usp=sharing"",""จันทบุรี!J459"")"),603.0)</f>
        <v>603</v>
      </c>
      <c r="K564" s="405">
        <f t="shared" si="122"/>
        <v>86.14285714</v>
      </c>
      <c r="L564" s="406">
        <f>IFERROR(__xludf.DUMMYFUNCTION("IMPORTRANGE(""https://docs.google.com/spreadsheets/d/1SX6NBoVAgQJ6U1MVXOaj8PK2l7WJ3RER9xtqwdhxkhw/edit?usp=sharing"",""จันทบุรี!L459"")"),126080.0)</f>
        <v>126080</v>
      </c>
      <c r="M564" s="406"/>
      <c r="N564" s="406">
        <f>IFERROR(__xludf.DUMMYFUNCTION("IMPORTRANGE(""https://docs.google.com/spreadsheets/d/1SX6NBoVAgQJ6U1MVXOaj8PK2l7WJ3RER9xtqwdhxkhw/edit?usp=sharing"",""จันทบุรี!M459"")"),15739.0)</f>
        <v>15739</v>
      </c>
      <c r="O564" s="406">
        <f t="shared" ref="O564:O568" si="123">+IF(L564&gt;0,N564*100/L564,0)</f>
        <v>12.48334391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IFERROR(__xludf.DUMMYFUNCTION("IMPORTRANGE(""https://docs.google.com/spreadsheets/d/1SX6NBoVAgQJ6U1MVXOaj8PK2l7WJ3RER9xtqwdhxkhw/edit?usp=sharing"",""จันทบุรี!L460"")"),0.0)</f>
        <v>0</v>
      </c>
      <c r="M565" s="197"/>
      <c r="N565" s="203">
        <f>IFERROR(__xludf.DUMMYFUNCTION("IMPORTRANGE(""https://docs.google.com/spreadsheets/d/1SX6NBoVAgQJ6U1MVXOaj8PK2l7WJ3RER9xtqwdhxkhw/edit?usp=sharing"",""จันทบุรี!M460"")"),0.0)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IFERROR(__xludf.DUMMYFUNCTION("IMPORTRANGE(""https://docs.google.com/spreadsheets/d/1SX6NBoVAgQJ6U1MVXOaj8PK2l7WJ3RER9xtqwdhxkhw/edit?usp=sharing"",""จันทบุรี!L461"")"),126080.0)</f>
        <v>126080</v>
      </c>
      <c r="M566" s="198"/>
      <c r="N566" s="203">
        <f>IFERROR(__xludf.DUMMYFUNCTION("IMPORTRANGE(""https://docs.google.com/spreadsheets/d/1SX6NBoVAgQJ6U1MVXOaj8PK2l7WJ3RER9xtqwdhxkhw/edit?usp=sharing"",""จันทบุรี!M461"")"),15739.0)</f>
        <v>15739</v>
      </c>
      <c r="O566" s="203">
        <f t="shared" si="123"/>
        <v>12.48334391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IFERROR(__xludf.DUMMYFUNCTION("IMPORTRANGE(""https://docs.google.com/spreadsheets/d/1SX6NBoVAgQJ6U1MVXOaj8PK2l7WJ3RER9xtqwdhxkhw/edit?usp=sharing"",""จันทบุรี!L462"")"),0.0)</f>
        <v>0</v>
      </c>
      <c r="M567" s="203"/>
      <c r="N567" s="203">
        <f>IFERROR(__xludf.DUMMYFUNCTION("IMPORTRANGE(""https://docs.google.com/spreadsheets/d/1SX6NBoVAgQJ6U1MVXOaj8PK2l7WJ3RER9xtqwdhxkhw/edit?usp=sharing"",""จันทบุรี!M462"")"),0.0)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IFERROR(__xludf.DUMMYFUNCTION("IMPORTRANGE(""https://docs.google.com/spreadsheets/d/1SX6NBoVAgQJ6U1MVXOaj8PK2l7WJ3RER9xtqwdhxkhw/edit?usp=sharing"",""จันทบุรี!L463"")"),126080.0)</f>
        <v>126080</v>
      </c>
      <c r="M568" s="203"/>
      <c r="N568" s="203">
        <f>IFERROR(__xludf.DUMMYFUNCTION("IMPORTRANGE(""https://docs.google.com/spreadsheets/d/1SX6NBoVAgQJ6U1MVXOaj8PK2l7WJ3RER9xtqwdhxkhw/edit?usp=sharing"",""จันทบุรี!M463"")"),15739.0)</f>
        <v>15739</v>
      </c>
      <c r="O568" s="203">
        <f t="shared" si="123"/>
        <v>12.48334391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IFERROR(__xludf.DUMMYFUNCTION("IMPORTRANGE(""https://docs.google.com/spreadsheets/d/1SX6NBoVAgQJ6U1MVXOaj8PK2l7WJ3RER9xtqwdhxkhw/edit?usp=sharing"",""จันทบุรี!M464"")"),0.0)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IFERROR(__xludf.DUMMYFUNCTION("IMPORTRANGE(""https://docs.google.com/spreadsheets/d/1SX6NBoVAgQJ6U1MVXOaj8PK2l7WJ3RER9xtqwdhxkhw/edit?usp=sharing"",""จันทบุรี!M465"")"),0.0)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IFERROR(__xludf.DUMMYFUNCTION("IMPORTRANGE(""https://docs.google.com/spreadsheets/d/1SX6NBoVAgQJ6U1MVXOaj8PK2l7WJ3RER9xtqwdhxkhw/edit?usp=sharing"",""จันทบุรี!M466"")"),9899.0)</f>
        <v>9899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IFERROR(__xludf.DUMMYFUNCTION("IMPORTRANGE(""https://docs.google.com/spreadsheets/d/1SX6NBoVAgQJ6U1MVXOaj8PK2l7WJ3RER9xtqwdhxkhw/edit?usp=sharing"",""จันทบุรี!M467"")"),5840.0)</f>
        <v>5840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IFERROR(__xludf.DUMMYFUNCTION("IMPORTRANGE(""https://docs.google.com/spreadsheets/d/1SX6NBoVAgQJ6U1MVXOaj8PK2l7WJ3RER9xtqwdhxkhw/edit?usp=sharing"",""จันทบุรี!I468"")"),700.0)</f>
        <v>700</v>
      </c>
      <c r="J573" s="453">
        <f>IFERROR(__xludf.DUMMYFUNCTION("IMPORTRANGE(""https://docs.google.com/spreadsheets/d/1SX6NBoVAgQJ6U1MVXOaj8PK2l7WJ3RER9xtqwdhxkhw/edit?usp=sharing"",""จันทบุรี!J468"")"),603.0)</f>
        <v>603</v>
      </c>
      <c r="K573" s="236">
        <f>IF(I573&gt;0,J573*100/I573,0)</f>
        <v>86.14285714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IFERROR(__xludf.DUMMYFUNCTION("IMPORTRANGE(""https://docs.google.com/spreadsheets/d/1SX6NBoVAgQJ6U1MVXOaj8PK2l7WJ3RER9xtqwdhxkhw/edit?usp=sharing"",""จันทบุรี!I470"")"),0.0)</f>
        <v>0</v>
      </c>
      <c r="J575" s="232">
        <f>IFERROR(__xludf.DUMMYFUNCTION("IMPORTRANGE(""https://docs.google.com/spreadsheets/d/1SX6NBoVAgQJ6U1MVXOaj8PK2l7WJ3RER9xtqwdhxkhw/edit?usp=sharing"",""จันทบุรี!J470"")"),2.0)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IFERROR(__xludf.DUMMYFUNCTION("IMPORTRANGE(""https://docs.google.com/spreadsheets/d/1SX6NBoVAgQJ6U1MVXOaj8PK2l7WJ3RER9xtqwdhxkhw/edit?usp=sharing"",""จันทบุรี!I471"")"),0.0)</f>
        <v>0</v>
      </c>
      <c r="J576" s="232">
        <f>IFERROR(__xludf.DUMMYFUNCTION("IMPORTRANGE(""https://docs.google.com/spreadsheets/d/1SX6NBoVAgQJ6U1MVXOaj8PK2l7WJ3RER9xtqwdhxkhw/edit?usp=sharing"",""จันทบุรี!J471"")"),49.0)</f>
        <v>49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IFERROR(__xludf.DUMMYFUNCTION("IMPORTRANGE(""https://docs.google.com/spreadsheets/d/1SX6NBoVAgQJ6U1MVXOaj8PK2l7WJ3RER9xtqwdhxkhw/edit?usp=sharing"",""จันทบุรี!I472"")"),0.0)</f>
        <v>0</v>
      </c>
      <c r="J577" s="223">
        <f>IFERROR(__xludf.DUMMYFUNCTION("IMPORTRANGE(""https://docs.google.com/spreadsheets/d/1SX6NBoVAgQJ6U1MVXOaj8PK2l7WJ3RER9xtqwdhxkhw/edit?usp=sharing"",""จันทบุรี!J472"")"),545.0)</f>
        <v>545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IFERROR(__xludf.DUMMYFUNCTION("IMPORTRANGE(""https://docs.google.com/spreadsheets/d/1SX6NBoVAgQJ6U1MVXOaj8PK2l7WJ3RER9xtqwdhxkhw/edit?usp=sharing"",""จันทบุรี!I473"")"),0.0)</f>
        <v>0</v>
      </c>
      <c r="J578" s="232">
        <f>IFERROR(__xludf.DUMMYFUNCTION("IMPORTRANGE(""https://docs.google.com/spreadsheets/d/1SX6NBoVAgQJ6U1MVXOaj8PK2l7WJ3RER9xtqwdhxkhw/edit?usp=sharing"",""จันทบุรี!J473"")"),3.0)</f>
        <v>3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IFERROR(__xludf.DUMMYFUNCTION("IMPORTRANGE(""https://docs.google.com/spreadsheets/d/1SX6NBoVAgQJ6U1MVXOaj8PK2l7WJ3RER9xtqwdhxkhw/edit?usp=sharing"",""จันทบุรี!I474"")"),0.0)</f>
        <v>0</v>
      </c>
      <c r="J579" s="232">
        <f>IFERROR(__xludf.DUMMYFUNCTION("IMPORTRANGE(""https://docs.google.com/spreadsheets/d/1SX6NBoVAgQJ6U1MVXOaj8PK2l7WJ3RER9xtqwdhxkhw/edit?usp=sharing"",""จันทบุรี!J474"")"),6.0)</f>
        <v>6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IFERROR(__xludf.DUMMYFUNCTION("IMPORTRANGE(""https://docs.google.com/spreadsheets/d/1SX6NBoVAgQJ6U1MVXOaj8PK2l7WJ3RER9xtqwdhxkhw/edit?usp=sharing"",""จันทบุรี!I475"")"),0.0)</f>
        <v>0</v>
      </c>
      <c r="J580" s="404">
        <f>IFERROR(__xludf.DUMMYFUNCTION("IMPORTRANGE(""https://docs.google.com/spreadsheets/d/1SX6NBoVAgQJ6U1MVXOaj8PK2l7WJ3RER9xtqwdhxkhw/edit?usp=sharing"",""จันทบุรี!J475"")"),0.0)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IFERROR(__xludf.DUMMYFUNCTION("IMPORTRANGE(""https://docs.google.com/spreadsheets/d/1SX6NBoVAgQJ6U1MVXOaj8PK2l7WJ3RER9xtqwdhxkhw/edit?usp=sharing"",""จันทบุรี!L475"")"),0.0)</f>
        <v>0</v>
      </c>
      <c r="M580" s="406"/>
      <c r="N580" s="406">
        <f>IFERROR(__xludf.DUMMYFUNCTION("IMPORTRANGE(""https://docs.google.com/spreadsheets/d/1SX6NBoVAgQJ6U1MVXOaj8PK2l7WJ3RER9xtqwdhxkhw/edit?usp=sharing"",""จันทบุรี!M475"")"),0.0)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IFERROR(__xludf.DUMMYFUNCTION("IMPORTRANGE(""https://docs.google.com/spreadsheets/d/1SX6NBoVAgQJ6U1MVXOaj8PK2l7WJ3RER9xtqwdhxkhw/edit?usp=sharing"",""จันทบุรี!L476"")"),0.0)</f>
        <v>0</v>
      </c>
      <c r="M581" s="197"/>
      <c r="N581" s="203">
        <f>IFERROR(__xludf.DUMMYFUNCTION("IMPORTRANGE(""https://docs.google.com/spreadsheets/d/1SX6NBoVAgQJ6U1MVXOaj8PK2l7WJ3RER9xtqwdhxkhw/edit?usp=sharing"",""จันทบุรี!M476"")"),0.0)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IFERROR(__xludf.DUMMYFUNCTION("IMPORTRANGE(""https://docs.google.com/spreadsheets/d/1SX6NBoVAgQJ6U1MVXOaj8PK2l7WJ3RER9xtqwdhxkhw/edit?usp=sharing"",""จันทบุรี!L477"")"),0.0)</f>
        <v>0</v>
      </c>
      <c r="M582" s="198"/>
      <c r="N582" s="203">
        <f>IFERROR(__xludf.DUMMYFUNCTION("IMPORTRANGE(""https://docs.google.com/spreadsheets/d/1SX6NBoVAgQJ6U1MVXOaj8PK2l7WJ3RER9xtqwdhxkhw/edit?usp=sharing"",""จันทบุรี!M477"")"),0.0)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IFERROR(__xludf.DUMMYFUNCTION("IMPORTRANGE(""https://docs.google.com/spreadsheets/d/1SX6NBoVAgQJ6U1MVXOaj8PK2l7WJ3RER9xtqwdhxkhw/edit?usp=sharing"",""จันทบุรี!L478"")"),0.0)</f>
        <v>0</v>
      </c>
      <c r="M583" s="203"/>
      <c r="N583" s="203">
        <f>IFERROR(__xludf.DUMMYFUNCTION("IMPORTRANGE(""https://docs.google.com/spreadsheets/d/1SX6NBoVAgQJ6U1MVXOaj8PK2l7WJ3RER9xtqwdhxkhw/edit?usp=sharing"",""จันทบุรี!M478"")"),0.0)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IFERROR(__xludf.DUMMYFUNCTION("IMPORTRANGE(""https://docs.google.com/spreadsheets/d/1SX6NBoVAgQJ6U1MVXOaj8PK2l7WJ3RER9xtqwdhxkhw/edit?usp=sharing"",""จันทบุรี!L479"")"),0.0)</f>
        <v>0</v>
      </c>
      <c r="M584" s="203"/>
      <c r="N584" s="203">
        <f>IFERROR(__xludf.DUMMYFUNCTION("IMPORTRANGE(""https://docs.google.com/spreadsheets/d/1SX6NBoVAgQJ6U1MVXOaj8PK2l7WJ3RER9xtqwdhxkhw/edit?usp=sharing"",""จันทบุรี!M479"")"),0.0)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IFERROR(__xludf.DUMMYFUNCTION("IMPORTRANGE(""https://docs.google.com/spreadsheets/d/1SX6NBoVAgQJ6U1MVXOaj8PK2l7WJ3RER9xtqwdhxkhw/edit?usp=sharing"",""จันทบุรี!M480"")"),0.0)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IFERROR(__xludf.DUMMYFUNCTION("IMPORTRANGE(""https://docs.google.com/spreadsheets/d/1SX6NBoVAgQJ6U1MVXOaj8PK2l7WJ3RER9xtqwdhxkhw/edit?usp=sharing"",""จันทบุรี!M481"")"),0.0)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IFERROR(__xludf.DUMMYFUNCTION("IMPORTRANGE(""https://docs.google.com/spreadsheets/d/1SX6NBoVAgQJ6U1MVXOaj8PK2l7WJ3RER9xtqwdhxkhw/edit?usp=sharing"",""จันทบุรี!M482"")"),0.0)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IFERROR(__xludf.DUMMYFUNCTION("IMPORTRANGE(""https://docs.google.com/spreadsheets/d/1SX6NBoVAgQJ6U1MVXOaj8PK2l7WJ3RER9xtqwdhxkhw/edit?usp=sharing"",""จันทบุรี!M483"")"),0.0)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IFERROR(__xludf.DUMMYFUNCTION("IMPORTRANGE(""https://docs.google.com/spreadsheets/d/1SX6NBoVAgQJ6U1MVXOaj8PK2l7WJ3RER9xtqwdhxkhw/edit?usp=sharing"",""จันทบุรี!I484"")"),0.0)</f>
        <v>0</v>
      </c>
      <c r="J589" s="222">
        <f>IFERROR(__xludf.DUMMYFUNCTION("IMPORTRANGE(""https://docs.google.com/spreadsheets/d/1SX6NBoVAgQJ6U1MVXOaj8PK2l7WJ3RER9xtqwdhxkhw/edit?usp=sharing"",""จันทบุรี!J484"")"),0.0)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IFERROR(__xludf.DUMMYFUNCTION("IMPORTRANGE(""https://docs.google.com/spreadsheets/d/1SX6NBoVAgQJ6U1MVXOaj8PK2l7WJ3RER9xtqwdhxkhw/edit?usp=sharing"",""จันทบุรี!I485"")"),0.0)</f>
        <v>0</v>
      </c>
      <c r="J590" s="222">
        <f>IFERROR(__xludf.DUMMYFUNCTION("IMPORTRANGE(""https://docs.google.com/spreadsheets/d/1SX6NBoVAgQJ6U1MVXOaj8PK2l7WJ3RER9xtqwdhxkhw/edit?usp=sharing"",""จันทบุรี!J485"")"),0.0)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IFERROR(__xludf.DUMMYFUNCTION("IMPORTRANGE(""https://docs.google.com/spreadsheets/d/1SX6NBoVAgQJ6U1MVXOaj8PK2l7WJ3RER9xtqwdhxkhw/edit?usp=sharing"",""จันทบุรี!I486"")"),0.0)</f>
        <v>0</v>
      </c>
      <c r="J591" s="222">
        <f>IFERROR(__xludf.DUMMYFUNCTION("IMPORTRANGE(""https://docs.google.com/spreadsheets/d/1SX6NBoVAgQJ6U1MVXOaj8PK2l7WJ3RER9xtqwdhxkhw/edit?usp=sharing"",""จันทบุรี!J486"")"),0.0)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IFERROR(__xludf.DUMMYFUNCTION("IMPORTRANGE(""https://docs.google.com/spreadsheets/d/1SX6NBoVAgQJ6U1MVXOaj8PK2l7WJ3RER9xtqwdhxkhw/edit?usp=sharing"",""จันทบุรี!I487"")"),0.0)</f>
        <v>0</v>
      </c>
      <c r="J592" s="222">
        <f>IFERROR(__xludf.DUMMYFUNCTION("IMPORTRANGE(""https://docs.google.com/spreadsheets/d/1SX6NBoVAgQJ6U1MVXOaj8PK2l7WJ3RER9xtqwdhxkhw/edit?usp=sharing"",""จันทบุรี!J487"")"),0.0)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IFERROR(__xludf.DUMMYFUNCTION("IMPORTRANGE(""https://docs.google.com/spreadsheets/d/1SX6NBoVAgQJ6U1MVXOaj8PK2l7WJ3RER9xtqwdhxkhw/edit?usp=sharing"",""จันทบุรี!I488"")"),0.0)</f>
        <v>0</v>
      </c>
      <c r="J593" s="222">
        <f>IFERROR(__xludf.DUMMYFUNCTION("IMPORTRANGE(""https://docs.google.com/spreadsheets/d/1SX6NBoVAgQJ6U1MVXOaj8PK2l7WJ3RER9xtqwdhxkhw/edit?usp=sharing"",""จันทบุรี!J488"")"),0.0)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IFERROR(__xludf.DUMMYFUNCTION("IMPORTRANGE(""https://docs.google.com/spreadsheets/d/1SX6NBoVAgQJ6U1MVXOaj8PK2l7WJ3RER9xtqwdhxkhw/edit?usp=sharing"",""จันทบุรี!I489"")"),0.0)</f>
        <v>0</v>
      </c>
      <c r="J594" s="222">
        <f>IFERROR(__xludf.DUMMYFUNCTION("IMPORTRANGE(""https://docs.google.com/spreadsheets/d/1SX6NBoVAgQJ6U1MVXOaj8PK2l7WJ3RER9xtqwdhxkhw/edit?usp=sharing"",""จันทบุรี!J489"")"),0.0)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IFERROR(__xludf.DUMMYFUNCTION("IMPORTRANGE(""https://docs.google.com/spreadsheets/d/1SX6NBoVAgQJ6U1MVXOaj8PK2l7WJ3RER9xtqwdhxkhw/edit?usp=sharing"",""จันทบุรี!I490"")"),0.0)</f>
        <v>0</v>
      </c>
      <c r="J595" s="222">
        <f>IFERROR(__xludf.DUMMYFUNCTION("IMPORTRANGE(""https://docs.google.com/spreadsheets/d/1SX6NBoVAgQJ6U1MVXOaj8PK2l7WJ3RER9xtqwdhxkhw/edit?usp=sharing"",""จันทบุรี!J490"")"),0.0)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IFERROR(__xludf.DUMMYFUNCTION("IMPORTRANGE(""https://docs.google.com/spreadsheets/d/1SX6NBoVAgQJ6U1MVXOaj8PK2l7WJ3RER9xtqwdhxkhw/edit?usp=sharing"",""จันทบุรี!I491"")"),0.0)</f>
        <v>0</v>
      </c>
      <c r="J596" s="275">
        <f>IFERROR(__xludf.DUMMYFUNCTION("IMPORTRANGE(""https://docs.google.com/spreadsheets/d/1SX6NBoVAgQJ6U1MVXOaj8PK2l7WJ3RER9xtqwdhxkhw/edit?usp=sharing"",""จันทบุรี!J491"")"),0.0)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IFERROR(__xludf.DUMMYFUNCTION("IMPORTRANGE(""https://docs.google.com/spreadsheets/d/1SX6NBoVAgQJ6U1MVXOaj8PK2l7WJ3RER9xtqwdhxkhw/edit?usp=sharing"",""จันทบุรี!I492"")"),50.0)</f>
        <v>50</v>
      </c>
      <c r="J597" s="520">
        <f>IFERROR(__xludf.DUMMYFUNCTION("IMPORTRANGE(""https://docs.google.com/spreadsheets/d/1SX6NBoVAgQJ6U1MVXOaj8PK2l7WJ3RER9xtqwdhxkhw/edit?usp=sharing"",""จันทบุรี!J492"")"),0.0)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IFERROR(__xludf.DUMMYFUNCTION("IMPORTRANGE(""https://docs.google.com/spreadsheets/d/1SX6NBoVAgQJ6U1MVXOaj8PK2l7WJ3RER9xtqwdhxkhw/edit?usp=sharing"",""จันทบุรี!L492"")"),4550.0)</f>
        <v>4550</v>
      </c>
      <c r="M597" s="445"/>
      <c r="N597" s="445">
        <f>IFERROR(__xludf.DUMMYFUNCTION("IMPORTRANGE(""https://docs.google.com/spreadsheets/d/1SX6NBoVAgQJ6U1MVXOaj8PK2l7WJ3RER9xtqwdhxkhw/edit?usp=sharing"",""จันทบุรี!M492"")"),650.0)</f>
        <v>650</v>
      </c>
      <c r="O597" s="445">
        <f t="shared" ref="O597:O601" si="127">+IF(L597&gt;0,N597*100/L597,0)</f>
        <v>14.28571429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IFERROR(__xludf.DUMMYFUNCTION("IMPORTRANGE(""https://docs.google.com/spreadsheets/d/1SX6NBoVAgQJ6U1MVXOaj8PK2l7WJ3RER9xtqwdhxkhw/edit?usp=sharing"",""จันทบุรี!L493"")"),0.0)</f>
        <v>0</v>
      </c>
      <c r="M598" s="197"/>
      <c r="N598" s="203">
        <f>IFERROR(__xludf.DUMMYFUNCTION("IMPORTRANGE(""https://docs.google.com/spreadsheets/d/1SX6NBoVAgQJ6U1MVXOaj8PK2l7WJ3RER9xtqwdhxkhw/edit?usp=sharing"",""จันทบุรี!M493"")"),0.0)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IFERROR(__xludf.DUMMYFUNCTION("IMPORTRANGE(""https://docs.google.com/spreadsheets/d/1SX6NBoVAgQJ6U1MVXOaj8PK2l7WJ3RER9xtqwdhxkhw/edit?usp=sharing"",""จันทบุรี!L494"")"),4550.0)</f>
        <v>4550</v>
      </c>
      <c r="M599" s="198"/>
      <c r="N599" s="203">
        <f>IFERROR(__xludf.DUMMYFUNCTION("IMPORTRANGE(""https://docs.google.com/spreadsheets/d/1SX6NBoVAgQJ6U1MVXOaj8PK2l7WJ3RER9xtqwdhxkhw/edit?usp=sharing"",""จันทบุรี!M494"")"),650.0)</f>
        <v>650</v>
      </c>
      <c r="O599" s="203">
        <f t="shared" si="127"/>
        <v>14.28571429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IFERROR(__xludf.DUMMYFUNCTION("IMPORTRANGE(""https://docs.google.com/spreadsheets/d/1SX6NBoVAgQJ6U1MVXOaj8PK2l7WJ3RER9xtqwdhxkhw/edit?usp=sharing"",""จันทบุรี!L495"")"),0.0)</f>
        <v>0</v>
      </c>
      <c r="M600" s="203"/>
      <c r="N600" s="203">
        <f>IFERROR(__xludf.DUMMYFUNCTION("IMPORTRANGE(""https://docs.google.com/spreadsheets/d/1SX6NBoVAgQJ6U1MVXOaj8PK2l7WJ3RER9xtqwdhxkhw/edit?usp=sharing"",""จันทบุรี!M495"")"),0.0)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IFERROR(__xludf.DUMMYFUNCTION("IMPORTRANGE(""https://docs.google.com/spreadsheets/d/1SX6NBoVAgQJ6U1MVXOaj8PK2l7WJ3RER9xtqwdhxkhw/edit?usp=sharing"",""จันทบุรี!L496"")"),4550.0)</f>
        <v>4550</v>
      </c>
      <c r="M601" s="203"/>
      <c r="N601" s="203">
        <f>IFERROR(__xludf.DUMMYFUNCTION("IMPORTRANGE(""https://docs.google.com/spreadsheets/d/1SX6NBoVAgQJ6U1MVXOaj8PK2l7WJ3RER9xtqwdhxkhw/edit?usp=sharing"",""จันทบุรี!M496"")"),650.0)</f>
        <v>650</v>
      </c>
      <c r="O601" s="203">
        <f t="shared" si="127"/>
        <v>14.28571429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IFERROR(__xludf.DUMMYFUNCTION("IMPORTRANGE(""https://docs.google.com/spreadsheets/d/1SX6NBoVAgQJ6U1MVXOaj8PK2l7WJ3RER9xtqwdhxkhw/edit?usp=sharing"",""จันทบุรี!M497"")"),0.0)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IFERROR(__xludf.DUMMYFUNCTION("IMPORTRANGE(""https://docs.google.com/spreadsheets/d/1SX6NBoVAgQJ6U1MVXOaj8PK2l7WJ3RER9xtqwdhxkhw/edit?usp=sharing"",""จันทบุรี!M498"")"),0.0)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IFERROR(__xludf.DUMMYFUNCTION("IMPORTRANGE(""https://docs.google.com/spreadsheets/d/1SX6NBoVAgQJ6U1MVXOaj8PK2l7WJ3RER9xtqwdhxkhw/edit?usp=sharing"",""จันทบุรี!M499"")"),0.0)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IFERROR(__xludf.DUMMYFUNCTION("IMPORTRANGE(""https://docs.google.com/spreadsheets/d/1SX6NBoVAgQJ6U1MVXOaj8PK2l7WJ3RER9xtqwdhxkhw/edit?usp=sharing"",""จันทบุรี!M500"")"),650.0)</f>
        <v>650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IFERROR(__xludf.DUMMYFUNCTION("IMPORTRANGE(""https://docs.google.com/spreadsheets/d/1SX6NBoVAgQJ6U1MVXOaj8PK2l7WJ3RER9xtqwdhxkhw/edit?usp=sharing"",""จันทบุรี!J502"")"),0.0)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IFERROR(__xludf.DUMMYFUNCTION("IMPORTRANGE(""https://docs.google.com/spreadsheets/d/1SX6NBoVAgQJ6U1MVXOaj8PK2l7WJ3RER9xtqwdhxkhw/edit?usp=sharing"",""จันทบุรี!J503"")"),1.0)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IFERROR(__xludf.DUMMYFUNCTION("IMPORTRANGE(""https://docs.google.com/spreadsheets/d/1SX6NBoVAgQJ6U1MVXOaj8PK2l7WJ3RER9xtqwdhxkhw/edit?usp=sharing"",""จันทบุรี!J166"")"),0.0)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IFERROR(__xludf.DUMMYFUNCTION("IMPORTRANGE(""https://docs.google.com/spreadsheets/d/1SX6NBoVAgQJ6U1MVXOaj8PK2l7WJ3RER9xtqwdhxkhw/edit?usp=sharing"",""จันทบุรี!J166"")"),0.0)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IFERROR(__xludf.DUMMYFUNCTION("IMPORTRANGE(""https://docs.google.com/spreadsheets/d/1SX6NBoVAgQJ6U1MVXOaj8PK2l7WJ3RER9xtqwdhxkhw/edit?usp=sharing"",""จันทบุรี!I506"")"),50.0)</f>
        <v>50</v>
      </c>
      <c r="J611" s="195">
        <f>IFERROR(__xludf.DUMMYFUNCTION("IMPORTRANGE(""https://docs.google.com/spreadsheets/d/1SX6NBoVAgQJ6U1MVXOaj8PK2l7WJ3RER9xtqwdhxkhw/edit?usp=sharing"",""จันทบุรี!J506"")"),0.0)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IFERROR(__xludf.DUMMYFUNCTION("IMPORTRANGE(""https://docs.google.com/spreadsheets/d/1SX6NBoVAgQJ6U1MVXOaj8PK2l7WJ3RER9xtqwdhxkhw/edit?usp=sharing"",""จันทบุรี!I507"")"),0.0)</f>
        <v>0</v>
      </c>
      <c r="J612" s="232">
        <f>IFERROR(__xludf.DUMMYFUNCTION("IMPORTRANGE(""https://docs.google.com/spreadsheets/d/1SX6NBoVAgQJ6U1MVXOaj8PK2l7WJ3RER9xtqwdhxkhw/edit?usp=sharing"",""จันทบุรี!J507"")"),0.0)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IFERROR(__xludf.DUMMYFUNCTION("IMPORTRANGE(""https://docs.google.com/spreadsheets/d/1SX6NBoVAgQJ6U1MVXOaj8PK2l7WJ3RER9xtqwdhxkhw/edit?usp=sharing"",""จันทบุรี!I508"")"),0.0)</f>
        <v>0</v>
      </c>
      <c r="J613" s="232">
        <f>IFERROR(__xludf.DUMMYFUNCTION("IMPORTRANGE(""https://docs.google.com/spreadsheets/d/1SX6NBoVAgQJ6U1MVXOaj8PK2l7WJ3RER9xtqwdhxkhw/edit?usp=sharing"",""จันทบุรี!J508"")"),0.0)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IFERROR(__xludf.DUMMYFUNCTION("IMPORTRANGE(""https://docs.google.com/spreadsheets/d/1SX6NBoVAgQJ6U1MVXOaj8PK2l7WJ3RER9xtqwdhxkhw/edit?usp=sharing"",""จันทบุรี!I509"")"),0.0)</f>
        <v>0</v>
      </c>
      <c r="J614" s="232">
        <f>IFERROR(__xludf.DUMMYFUNCTION("IMPORTRANGE(""https://docs.google.com/spreadsheets/d/1SX6NBoVAgQJ6U1MVXOaj8PK2l7WJ3RER9xtqwdhxkhw/edit?usp=sharing"",""จันทบุรี!J509"")"),0.0)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IFERROR(__xludf.DUMMYFUNCTION("IMPORTRANGE(""https://docs.google.com/spreadsheets/d/1SX6NBoVAgQJ6U1MVXOaj8PK2l7WJ3RER9xtqwdhxkhw/edit?usp=sharing"",""จันทบุรี!I510"")"),0.0)</f>
        <v>0</v>
      </c>
      <c r="J615" s="232">
        <f>IFERROR(__xludf.DUMMYFUNCTION("IMPORTRANGE(""https://docs.google.com/spreadsheets/d/1SX6NBoVAgQJ6U1MVXOaj8PK2l7WJ3RER9xtqwdhxkhw/edit?usp=sharing"",""จันทบุรี!J510"")"),0.0)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IFERROR(__xludf.DUMMYFUNCTION("IMPORTRANGE(""https://docs.google.com/spreadsheets/d/1SX6NBoVAgQJ6U1MVXOaj8PK2l7WJ3RER9xtqwdhxkhw/edit?usp=sharing"",""จันทบุรี!I511"")"),0.0)</f>
        <v>0</v>
      </c>
      <c r="J616" s="232">
        <f>IFERROR(__xludf.DUMMYFUNCTION("IMPORTRANGE(""https://docs.google.com/spreadsheets/d/1SX6NBoVAgQJ6U1MVXOaj8PK2l7WJ3RER9xtqwdhxkhw/edit?usp=sharing"",""จันทบุรี!J511"")"),0.0)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IFERROR(__xludf.DUMMYFUNCTION("IMPORTRANGE(""https://docs.google.com/spreadsheets/d/1SX6NBoVAgQJ6U1MVXOaj8PK2l7WJ3RER9xtqwdhxkhw/edit?usp=sharing"",""จันทบุรี!I512"")"),0.0)</f>
        <v>0</v>
      </c>
      <c r="J617" s="222">
        <f>IFERROR(__xludf.DUMMYFUNCTION("IMPORTRANGE(""https://docs.google.com/spreadsheets/d/1SX6NBoVAgQJ6U1MVXOaj8PK2l7WJ3RER9xtqwdhxkhw/edit?usp=sharing"",""จันทบุรี!J512"")"),0.0)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IFERROR(__xludf.DUMMYFUNCTION("IMPORTRANGE(""https://docs.google.com/spreadsheets/d/1SX6NBoVAgQJ6U1MVXOaj8PK2l7WJ3RER9xtqwdhxkhw/edit?usp=sharing"",""จันทบุรี!I513"")"),0.0)</f>
        <v>0</v>
      </c>
      <c r="J618" s="223">
        <f>IFERROR(__xludf.DUMMYFUNCTION("IMPORTRANGE(""https://docs.google.com/spreadsheets/d/1SX6NBoVAgQJ6U1MVXOaj8PK2l7WJ3RER9xtqwdhxkhw/edit?usp=sharing"",""จันทบุรี!J513"")"),0.0)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IFERROR(__xludf.DUMMYFUNCTION("IMPORTRANGE(""https://docs.google.com/spreadsheets/d/1SX6NBoVAgQJ6U1MVXOaj8PK2l7WJ3RER9xtqwdhxkhw/edit?usp=sharing"",""จันทบุรี!I514"")"),0.0)</f>
        <v>0</v>
      </c>
      <c r="J619" s="223">
        <f>IFERROR(__xludf.DUMMYFUNCTION("IMPORTRANGE(""https://docs.google.com/spreadsheets/d/1SX6NBoVAgQJ6U1MVXOaj8PK2l7WJ3RER9xtqwdhxkhw/edit?usp=sharing"",""จันทบุรี!J514"")"),0.0)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IFERROR(__xludf.DUMMYFUNCTION("IMPORTRANGE(""https://docs.google.com/spreadsheets/d/1SX6NBoVAgQJ6U1MVXOaj8PK2l7WJ3RER9xtqwdhxkhw/edit?usp=sharing"",""จันทบุรี!I515"")"),0.0)</f>
        <v>0</v>
      </c>
      <c r="J620" s="237">
        <f>IFERROR(__xludf.DUMMYFUNCTION("IMPORTRANGE(""https://docs.google.com/spreadsheets/d/1SX6NBoVAgQJ6U1MVXOaj8PK2l7WJ3RER9xtqwdhxkhw/edit?usp=sharing"",""จันทบุรี!J515"")"),0.0)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IFERROR(__xludf.DUMMYFUNCTION("IMPORTRANGE(""https://docs.google.com/spreadsheets/d/1SX6NBoVAgQJ6U1MVXOaj8PK2l7WJ3RER9xtqwdhxkhw/edit?usp=sharing"",""จันทบุรี!I516"")"),0.0)</f>
        <v>0</v>
      </c>
      <c r="J621" s="237">
        <f>IFERROR(__xludf.DUMMYFUNCTION("IMPORTRANGE(""https://docs.google.com/spreadsheets/d/1SX6NBoVAgQJ6U1MVXOaj8PK2l7WJ3RER9xtqwdhxkhw/edit?usp=sharing"",""จันทบุรี!J516"")"),0.0)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IFERROR(__xludf.DUMMYFUNCTION("IMPORTRANGE(""https://docs.google.com/spreadsheets/d/1SX6NBoVAgQJ6U1MVXOaj8PK2l7WJ3RER9xtqwdhxkhw/edit?usp=sharing"",""จันทบุรี!I517"")"),0.0)</f>
        <v>0</v>
      </c>
      <c r="J622" s="223">
        <f>IFERROR(__xludf.DUMMYFUNCTION("IMPORTRANGE(""https://docs.google.com/spreadsheets/d/1SX6NBoVAgQJ6U1MVXOaj8PK2l7WJ3RER9xtqwdhxkhw/edit?usp=sharing"",""จันทบุรี!J517"")"),0.0)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IFERROR(__xludf.DUMMYFUNCTION("IMPORTRANGE(""https://docs.google.com/spreadsheets/d/1SX6NBoVAgQJ6U1MVXOaj8PK2l7WJ3RER9xtqwdhxkhw/edit?usp=sharing"",""จันทบุรี!I518"")"),0.0)</f>
        <v>0</v>
      </c>
      <c r="J623" s="223">
        <f>IFERROR(__xludf.DUMMYFUNCTION("IMPORTRANGE(""https://docs.google.com/spreadsheets/d/1SX6NBoVAgQJ6U1MVXOaj8PK2l7WJ3RER9xtqwdhxkhw/edit?usp=sharing"",""จันทบุรี!J518"")"),0.0)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IFERROR(__xludf.DUMMYFUNCTION("IMPORTRANGE(""https://docs.google.com/spreadsheets/d/1SX6NBoVAgQJ6U1MVXOaj8PK2l7WJ3RER9xtqwdhxkhw/edit?usp=sharing"",""จันทบุรี!I519"")"),0.0)</f>
        <v>0</v>
      </c>
      <c r="J624" s="222">
        <f>IFERROR(__xludf.DUMMYFUNCTION("IMPORTRANGE(""https://docs.google.com/spreadsheets/d/1SX6NBoVAgQJ6U1MVXOaj8PK2l7WJ3RER9xtqwdhxkhw/edit?usp=sharing"",""จันทบุรี!J519"")"),0.0)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IFERROR(__xludf.DUMMYFUNCTION("IMPORTRANGE(""https://docs.google.com/spreadsheets/d/1SX6NBoVAgQJ6U1MVXOaj8PK2l7WJ3RER9xtqwdhxkhw/edit?usp=sharing"",""จันทบุรี!I520"")"),0.0)</f>
        <v>0</v>
      </c>
      <c r="J625" s="223">
        <f>IFERROR(__xludf.DUMMYFUNCTION("IMPORTRANGE(""https://docs.google.com/spreadsheets/d/1SX6NBoVAgQJ6U1MVXOaj8PK2l7WJ3RER9xtqwdhxkhw/edit?usp=sharing"",""จันทบุรี!J520"")"),0.0)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IFERROR(__xludf.DUMMYFUNCTION("IMPORTRANGE(""https://docs.google.com/spreadsheets/d/1SX6NBoVAgQJ6U1MVXOaj8PK2l7WJ3RER9xtqwdhxkhw/edit?usp=sharing"",""จันทบุรี!I521"")"),0.0)</f>
        <v>0</v>
      </c>
      <c r="J626" s="223">
        <f>IFERROR(__xludf.DUMMYFUNCTION("IMPORTRANGE(""https://docs.google.com/spreadsheets/d/1SX6NBoVAgQJ6U1MVXOaj8PK2l7WJ3RER9xtqwdhxkhw/edit?usp=sharing"",""จันทบุรี!J521"")"),0.0)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IFERROR(__xludf.DUMMYFUNCTION("IMPORTRANGE(""https://docs.google.com/spreadsheets/d/1SX6NBoVAgQJ6U1MVXOaj8PK2l7WJ3RER9xtqwdhxkhw/edit?usp=sharing"",""จันทบุรี!I523"")"),7886000.0)</f>
        <v>7886000</v>
      </c>
      <c r="J628" s="374">
        <f>IFERROR(__xludf.DUMMYFUNCTION("IMPORTRANGE(""https://docs.google.com/spreadsheets/d/1SX6NBoVAgQJ6U1MVXOaj8PK2l7WJ3RER9xtqwdhxkhw/edit?usp=sharing"",""จันทบุรี!J523"")"),1320000.0)</f>
        <v>1320000</v>
      </c>
      <c r="K628" s="375">
        <f t="shared" ref="K628:K635" si="130">IF(I628&gt;0,J628*100/I628,0)</f>
        <v>16.73852397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IFERROR(__xludf.DUMMYFUNCTION("IMPORTRANGE(""https://docs.google.com/spreadsheets/d/1SX6NBoVAgQJ6U1MVXOaj8PK2l7WJ3RER9xtqwdhxkhw/edit?usp=sharing"",""จันทบุรี!I524"")"),395.0)</f>
        <v>395</v>
      </c>
      <c r="J629" s="374">
        <f>IFERROR(__xludf.DUMMYFUNCTION("IMPORTRANGE(""https://docs.google.com/spreadsheets/d/1SX6NBoVAgQJ6U1MVXOaj8PK2l7WJ3RER9xtqwdhxkhw/edit?usp=sharing"",""จันทบุรี!J524"")"),66.0)</f>
        <v>66</v>
      </c>
      <c r="K629" s="375">
        <f t="shared" si="130"/>
        <v>16.70886076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IFERROR(__xludf.DUMMYFUNCTION("IMPORTRANGE(""https://docs.google.com/spreadsheets/d/1SX6NBoVAgQJ6U1MVXOaj8PK2l7WJ3RER9xtqwdhxkhw/edit?usp=sharing"",""จันทบุรี!I525"")"),1.658843726E7)</f>
        <v>16588437.26</v>
      </c>
      <c r="J630" s="374">
        <f>IFERROR(__xludf.DUMMYFUNCTION("IMPORTRANGE(""https://docs.google.com/spreadsheets/d/1SX6NBoVAgQJ6U1MVXOaj8PK2l7WJ3RER9xtqwdhxkhw/edit?usp=sharing"",""จันทบุรี!J525"")"),350585.81)</f>
        <v>350585.81</v>
      </c>
      <c r="K630" s="375">
        <f t="shared" si="130"/>
        <v>2.113434825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IFERROR(__xludf.DUMMYFUNCTION("IMPORTRANGE(""https://docs.google.com/spreadsheets/d/1SX6NBoVAgQJ6U1MVXOaj8PK2l7WJ3RER9xtqwdhxkhw/edit?usp=sharing"",""จันทบุรี!I526"")"),368.0)</f>
        <v>368</v>
      </c>
      <c r="J631" s="374">
        <f>IFERROR(__xludf.DUMMYFUNCTION("IMPORTRANGE(""https://docs.google.com/spreadsheets/d/1SX6NBoVAgQJ6U1MVXOaj8PK2l7WJ3RER9xtqwdhxkhw/edit?usp=sharing"",""จันทบุรี!J526"")"),44.0)</f>
        <v>44</v>
      </c>
      <c r="K631" s="375">
        <f t="shared" si="130"/>
        <v>11.95652174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IFERROR(__xludf.DUMMYFUNCTION("IMPORTRANGE(""https://docs.google.com/spreadsheets/d/1SX6NBoVAgQJ6U1MVXOaj8PK2l7WJ3RER9xtqwdhxkhw/edit?usp=sharing"",""จันทบุรี!I527"")"),1735136.41)</f>
        <v>1735136.41</v>
      </c>
      <c r="J632" s="374">
        <f>IFERROR(__xludf.DUMMYFUNCTION("IMPORTRANGE(""https://docs.google.com/spreadsheets/d/1SX6NBoVAgQJ6U1MVXOaj8PK2l7WJ3RER9xtqwdhxkhw/edit?usp=sharing"",""จันทบุรี!J527"")"),172793.87)</f>
        <v>172793.87</v>
      </c>
      <c r="K632" s="375">
        <f t="shared" si="130"/>
        <v>9.958517901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IFERROR(__xludf.DUMMYFUNCTION("IMPORTRANGE(""https://docs.google.com/spreadsheets/d/1SX6NBoVAgQJ6U1MVXOaj8PK2l7WJ3RER9xtqwdhxkhw/edit?usp=sharing"",""จันทบุรี!I528"")"),121.0)</f>
        <v>121</v>
      </c>
      <c r="J633" s="374">
        <f>IFERROR(__xludf.DUMMYFUNCTION("IMPORTRANGE(""https://docs.google.com/spreadsheets/d/1SX6NBoVAgQJ6U1MVXOaj8PK2l7WJ3RER9xtqwdhxkhw/edit?usp=sharing"",""จันทบุรี!J528"")"),12.0)</f>
        <v>12</v>
      </c>
      <c r="K633" s="375">
        <f t="shared" si="130"/>
        <v>9.917355372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IFERROR(__xludf.DUMMYFUNCTION("IMPORTRANGE(""https://docs.google.com/spreadsheets/d/1SX6NBoVAgQJ6U1MVXOaj8PK2l7WJ3RER9xtqwdhxkhw/edit?usp=sharing"",""จันทบุรี!I529"")"),4000000.0)</f>
        <v>4000000</v>
      </c>
      <c r="J634" s="374">
        <f>IFERROR(__xludf.DUMMYFUNCTION("IMPORTRANGE(""https://docs.google.com/spreadsheets/d/1SX6NBoVAgQJ6U1MVXOaj8PK2l7WJ3RER9xtqwdhxkhw/edit?usp=sharing"",""จันทบุรี!J529"")"),0.0)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IFERROR(__xludf.DUMMYFUNCTION("IMPORTRANGE(""https://docs.google.com/spreadsheets/d/1SX6NBoVAgQJ6U1MVXOaj8PK2l7WJ3RER9xtqwdhxkhw/edit?usp=sharing"",""จันทบุรี!I530"")"),200.0)</f>
        <v>200</v>
      </c>
      <c r="J635" s="544">
        <f>IFERROR(__xludf.DUMMYFUNCTION("IMPORTRANGE(""https://docs.google.com/spreadsheets/d/1SX6NBoVAgQJ6U1MVXOaj8PK2l7WJ3RER9xtqwdhxkhw/edit?usp=sharing"",""จันทบุรี!J530"")"),0.0)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243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7670554</v>
      </c>
      <c r="M8" s="41">
        <f t="shared" si="1"/>
        <v>2014725</v>
      </c>
      <c r="N8" s="41">
        <f t="shared" si="1"/>
        <v>1730213</v>
      </c>
      <c r="O8" s="40">
        <f t="shared" ref="O8:O16" si="3">IF(L8&gt;0,N8*100/L8,0)</f>
        <v>22.5565585</v>
      </c>
      <c r="P8" s="40">
        <f t="shared" ref="P8:P16" si="4">IF(M8&gt;0,N8*100/M8,0)</f>
        <v>85.8783705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7670554</v>
      </c>
      <c r="M10" s="48">
        <f t="shared" si="5"/>
        <v>2014725</v>
      </c>
      <c r="N10" s="48">
        <f t="shared" si="5"/>
        <v>1730213</v>
      </c>
      <c r="O10" s="47">
        <f t="shared" si="3"/>
        <v>22.5565585</v>
      </c>
      <c r="P10" s="47">
        <f t="shared" si="4"/>
        <v>85.8783705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6427154</v>
      </c>
      <c r="M12" s="58">
        <f t="shared" si="7"/>
        <v>2014725</v>
      </c>
      <c r="N12" s="58">
        <f t="shared" si="7"/>
        <v>1617213</v>
      </c>
      <c r="O12" s="58">
        <f t="shared" si="3"/>
        <v>25.16219465</v>
      </c>
      <c r="P12" s="58">
        <f t="shared" si="4"/>
        <v>80.26966459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2298800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4128354</v>
      </c>
      <c r="M14" s="58">
        <f t="shared" si="9"/>
        <v>0</v>
      </c>
      <c r="N14" s="58">
        <f t="shared" si="9"/>
        <v>260966</v>
      </c>
      <c r="O14" s="61">
        <f t="shared" si="3"/>
        <v>6.321308686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1243400</v>
      </c>
      <c r="M16" s="58">
        <f t="shared" si="11"/>
        <v>0</v>
      </c>
      <c r="N16" s="58">
        <f t="shared" si="11"/>
        <v>113000</v>
      </c>
      <c r="O16" s="70">
        <f t="shared" si="3"/>
        <v>9.087984558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4992635</v>
      </c>
      <c r="M18" s="41">
        <f t="shared" si="12"/>
        <v>2014725</v>
      </c>
      <c r="N18" s="41">
        <f t="shared" si="12"/>
        <v>1469247</v>
      </c>
      <c r="O18" s="40">
        <f t="shared" ref="O18:O20" si="14">IF(L18&gt;0,N18*100/L18,0)</f>
        <v>29.42828787</v>
      </c>
      <c r="P18" s="40">
        <f t="shared" ref="P18:P26" si="15">IF(M18&gt;0,N18*100/M18,0)</f>
        <v>72.92543647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4992635</v>
      </c>
      <c r="M20" s="48">
        <f t="shared" si="16"/>
        <v>2014725</v>
      </c>
      <c r="N20" s="48">
        <f t="shared" si="16"/>
        <v>1469247</v>
      </c>
      <c r="O20" s="47">
        <f t="shared" si="14"/>
        <v>29.42828787</v>
      </c>
      <c r="P20" s="47">
        <f t="shared" si="15"/>
        <v>72.92543647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3749235</v>
      </c>
      <c r="M22" s="62">
        <f t="shared" si="18"/>
        <v>2014725</v>
      </c>
      <c r="N22" s="61">
        <f t="shared" si="18"/>
        <v>1356247</v>
      </c>
      <c r="O22" s="61">
        <f t="shared" si="19"/>
        <v>36.17396616</v>
      </c>
      <c r="P22" s="61">
        <f t="shared" si="15"/>
        <v>67.31673057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2298800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1450435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1243400</v>
      </c>
      <c r="M26" s="70">
        <f t="shared" si="23"/>
        <v>0</v>
      </c>
      <c r="N26" s="70">
        <f t="shared" si="23"/>
        <v>113000</v>
      </c>
      <c r="O26" s="70">
        <f t="shared" si="19"/>
        <v>9.087984558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2677919</v>
      </c>
      <c r="M28" s="41">
        <f t="shared" si="24"/>
        <v>0</v>
      </c>
      <c r="N28" s="41">
        <f t="shared" si="24"/>
        <v>260966</v>
      </c>
      <c r="O28" s="40">
        <f t="shared" ref="O28:O30" si="26">IF(L28&gt;0,N28*100/L28,0)</f>
        <v>9.745104314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2677919</v>
      </c>
      <c r="M30" s="48">
        <f t="shared" si="28"/>
        <v>0</v>
      </c>
      <c r="N30" s="48">
        <f t="shared" si="28"/>
        <v>260966</v>
      </c>
      <c r="O30" s="47">
        <f t="shared" si="26"/>
        <v>9.745104314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2677919</v>
      </c>
      <c r="M32" s="61">
        <f t="shared" si="30"/>
        <v>0</v>
      </c>
      <c r="N32" s="61">
        <f t="shared" si="30"/>
        <v>260966</v>
      </c>
      <c r="O32" s="61">
        <f t="shared" si="31"/>
        <v>9.745104314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2677919</v>
      </c>
      <c r="M34" s="61">
        <f t="shared" si="33"/>
        <v>0</v>
      </c>
      <c r="N34" s="61">
        <f t="shared" si="33"/>
        <v>260966</v>
      </c>
      <c r="O34" s="61">
        <f t="shared" si="31"/>
        <v>9.745104314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4992635</v>
      </c>
      <c r="M37" s="75">
        <f t="shared" si="34"/>
        <v>2014725</v>
      </c>
      <c r="N37" s="75">
        <f t="shared" si="34"/>
        <v>1469247</v>
      </c>
      <c r="O37" s="76">
        <f t="shared" si="31"/>
        <v>29.42828787</v>
      </c>
      <c r="P37" s="76">
        <f t="shared" si="27"/>
        <v>72.92543647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2062100</v>
      </c>
      <c r="M41" s="102">
        <f t="shared" si="35"/>
        <v>464100</v>
      </c>
      <c r="N41" s="102">
        <f t="shared" si="35"/>
        <v>464956</v>
      </c>
      <c r="O41" s="101">
        <f t="shared" ref="O41:O43" si="37">IF(L41&gt;0,N41*100/L41,0)</f>
        <v>22.5476941</v>
      </c>
      <c r="P41" s="101">
        <f t="shared" ref="P41:P43" si="38">IF(M41&gt;0,N41*100/M41,0)</f>
        <v>100.184443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2062100</v>
      </c>
      <c r="M43" s="102">
        <f t="shared" si="39"/>
        <v>464100</v>
      </c>
      <c r="N43" s="102">
        <f t="shared" si="39"/>
        <v>464956</v>
      </c>
      <c r="O43" s="101">
        <f t="shared" si="37"/>
        <v>22.5476941</v>
      </c>
      <c r="P43" s="101">
        <f t="shared" si="38"/>
        <v>100.184443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928100</v>
      </c>
      <c r="M45" s="115">
        <f>IFERROR(__xludf.DUMMYFUNCTION("IMPORTRANGE(""https://docs.google.com/spreadsheets/d/1Yj_ptqi66GCucihVvJfMjLAmec39IyEx_6qawtMGysU/edit?usp=sharing"",""สบก!Q61"")"),464100.0)</f>
        <v>464100</v>
      </c>
      <c r="N45" s="115">
        <f>IFERROR(__xludf.DUMMYFUNCTION("IMPORTRANGE(""https://docs.google.com/spreadsheets/d/1Yj_ptqi66GCucihVvJfMjLAmec39IyEx_6qawtMGysU/edit?usp=sharing"",""สบก!R61"")"),368956.0)</f>
        <v>368956</v>
      </c>
      <c r="O45" s="116">
        <f>IF(L45&gt;0,N45*100/L45,0)</f>
        <v>39.75390583</v>
      </c>
      <c r="P45" s="116">
        <f>IF(M45&gt;0,N45*100/M45,0)</f>
        <v>79.49924585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IFERROR(__xludf.DUMMYFUNCTION("IMPORTRANGE(""https://docs.google.com/spreadsheets/d/1Yj_ptqi66GCucihVvJfMjLAmec39IyEx_6qawtMGysU/edit?usp=sharing"",""สบก!M61"")"),928100.0)</f>
        <v>928100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IFERROR(__xludf.DUMMYFUNCTION("IMPORTRANGE(""https://docs.google.com/spreadsheets/d/1Yj_ptqi66GCucihVvJfMjLAmec39IyEx_6qawtMGysU/edit?usp=sharing"",""สบก!N61"")"),0.0)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IFERROR(__xludf.DUMMYFUNCTION("IMPORTRANGE(""https://docs.google.com/spreadsheets/d/1Yj_ptqi66GCucihVvJfMjLAmec39IyEx_6qawtMGysU/edit?usp=sharing"",""สบก!O61"")"),1134000.0)</f>
        <v>1134000</v>
      </c>
      <c r="M49" s="125"/>
      <c r="N49" s="115">
        <f>IFERROR(__xludf.DUMMYFUNCTION("IMPORTRANGE(""https://docs.google.com/spreadsheets/d/1Yj_ptqi66GCucihVvJfMjLAmec39IyEx_6qawtMGysU/edit?usp=sharing"",""สบก!S61"")"),96000.0)</f>
        <v>96000</v>
      </c>
      <c r="O49" s="125">
        <f>IF(L49&gt;0,N49*100/L49,0)</f>
        <v>8.465608466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530000</v>
      </c>
      <c r="M53" s="151">
        <f t="shared" si="40"/>
        <v>287500</v>
      </c>
      <c r="N53" s="151">
        <f t="shared" si="40"/>
        <v>182888</v>
      </c>
      <c r="O53" s="150">
        <f t="shared" ref="O53:O55" si="42">IF(L53&gt;0,N53*100/L53,0)</f>
        <v>34.50716981</v>
      </c>
      <c r="P53" s="150">
        <f t="shared" ref="P53:P55" si="43">IF(M53&gt;0,N53*100/M53,0)</f>
        <v>63.61321739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530000</v>
      </c>
      <c r="M55" s="151">
        <f t="shared" si="44"/>
        <v>287500</v>
      </c>
      <c r="N55" s="151">
        <f t="shared" si="44"/>
        <v>182888</v>
      </c>
      <c r="O55" s="150">
        <f t="shared" si="42"/>
        <v>34.50716981</v>
      </c>
      <c r="P55" s="150">
        <f t="shared" si="43"/>
        <v>63.61321739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530000</v>
      </c>
      <c r="M57" s="115">
        <f>IFERROR(__xludf.DUMMYFUNCTION("IMPORTRANGE(""https://docs.google.com/spreadsheets/d/1Yj_ptqi66GCucihVvJfMjLAmec39IyEx_6qawtMGysU/edit?usp=sharing"",""สบก!Z61"")"),287500.0)</f>
        <v>287500</v>
      </c>
      <c r="N57" s="115">
        <f>IFERROR(__xludf.DUMMYFUNCTION("IMPORTRANGE(""https://docs.google.com/spreadsheets/d/1Yj_ptqi66GCucihVvJfMjLAmec39IyEx_6qawtMGysU/edit?usp=sharing"",""สบก!AA61"")"),182888.0)</f>
        <v>182888</v>
      </c>
      <c r="O57" s="116">
        <f>IF(L57&gt;0,N57*100/L57,0)</f>
        <v>34.50716981</v>
      </c>
      <c r="P57" s="116">
        <f>IF(M57&gt;0,N57*100/M57,0)</f>
        <v>63.61321739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IFERROR(__xludf.DUMMYFUNCTION("IMPORTRANGE(""https://docs.google.com/spreadsheets/d/1Yj_ptqi66GCucihVvJfMjLAmec39IyEx_6qawtMGysU/edit?usp=sharing"",""สบก!V61"")"),530000.0)</f>
        <v>530000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IFERROR(__xludf.DUMMYFUNCTION("IMPORTRANGE(""https://docs.google.com/spreadsheets/d/1Yj_ptqi66GCucihVvJfMjLAmec39IyEx_6qawtMGysU/edit?usp=sharing"",""สบก!W61"")"),0.0)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IFERROR(__xludf.DUMMYFUNCTION("IMPORTRANGE(""https://docs.google.com/spreadsheets/d/1Yj_ptqi66GCucihVvJfMjLAmec39IyEx_6qawtMGysU/edit?usp=sharing"",""สบก!X61"")"),0.0)</f>
        <v>0</v>
      </c>
      <c r="M61" s="125"/>
      <c r="N61" s="115">
        <f>IFERROR(__xludf.DUMMYFUNCTION("IMPORTRANGE(""https://docs.google.com/spreadsheets/d/1Yj_ptqi66GCucihVvJfMjLAmec39IyEx_6qawtMGysU/edit?usp=sharing"",""สบก!AB61"")"),0.0)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IFERROR(__xludf.DUMMYFUNCTION("IMPORTRANGE(""https://docs.google.com/spreadsheets/d/1SX6NBoVAgQJ6U1MVXOaj8PK2l7WJ3RER9xtqwdhxkhw/edit?usp=sharing"",""ฉะเชิงเทรา!I9"")"),0.0)</f>
        <v>0</v>
      </c>
      <c r="J64" s="172">
        <f>IFERROR(__xludf.DUMMYFUNCTION("IMPORTRANGE(""https://docs.google.com/spreadsheets/d/1SX6NBoVAgQJ6U1MVXOaj8PK2l7WJ3RER9xtqwdhxkhw/edit?usp=sharing"",""ฉะเชิงเทรา!J9"")"),0.0)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IFERROR(__xludf.DUMMYFUNCTION("IMPORTRANGE(""https://docs.google.com/spreadsheets/d/1SX6NBoVAgQJ6U1MVXOaj8PK2l7WJ3RER9xtqwdhxkhw/edit?usp=sharing"",""ฉะเชิงเทรา!I10"")"),0.0)</f>
        <v>0</v>
      </c>
      <c r="J65" s="172">
        <f>IFERROR(__xludf.DUMMYFUNCTION("IMPORTRANGE(""https://docs.google.com/spreadsheets/d/1SX6NBoVAgQJ6U1MVXOaj8PK2l7WJ3RER9xtqwdhxkhw/edit?usp=sharing"",""ฉะเชิงเทรา!J10"")"),0.0)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IFERROR(__xludf.DUMMYFUNCTION("IMPORTRANGE(""https://docs.google.com/spreadsheets/d/1Yj_ptqi66GCucihVvJfMjLAmec39IyEx_6qawtMGysU/edit?usp=sharing"",""สบก!AI61"")"),0.0)</f>
        <v>0</v>
      </c>
      <c r="N70" s="202">
        <f>IFERROR(__xludf.DUMMYFUNCTION("IMPORTRANGE(""https://docs.google.com/spreadsheets/d/1Yj_ptqi66GCucihVvJfMjLAmec39IyEx_6qawtMGysU/edit?usp=sharing"",""สบก!AJ61"")"),0.0)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IFERROR(__xludf.DUMMYFUNCTION("IMPORTRANGE(""https://docs.google.com/spreadsheets/d/1Yj_ptqi66GCucihVvJfMjLAmec39IyEx_6qawtMGysU/edit?usp=sharing"",""สบก!AE61"")"),0.0)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IFERROR(__xludf.DUMMYFUNCTION("IMPORTRANGE(""https://docs.google.com/spreadsheets/d/1Yj_ptqi66GCucihVvJfMjLAmec39IyEx_6qawtMGysU/edit?usp=sharing"",""สบก!AF61"")"),0.0)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IFERROR(__xludf.DUMMYFUNCTION("IMPORTRANGE(""https://docs.google.com/spreadsheets/d/1Yj_ptqi66GCucihVvJfMjLAmec39IyEx_6qawtMGysU/edit?usp=sharing"",""สบก!AG61"")"),0.0)</f>
        <v>0</v>
      </c>
      <c r="M74" s="125"/>
      <c r="N74" s="115">
        <f>IFERROR(__xludf.DUMMYFUNCTION("IMPORTRANGE(""https://docs.google.com/spreadsheets/d/1Yj_ptqi66GCucihVvJfMjLAmec39IyEx_6qawtMGysU/edit?usp=sharing"",""สบก!AK61"")"),0.0)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IFERROR(__xludf.DUMMYFUNCTION("IMPORTRANGE(""https://docs.google.com/spreadsheets/d/1SX6NBoVAgQJ6U1MVXOaj8PK2l7WJ3RER9xtqwdhxkhw/edit?usp=sharing"",""ฉะเชิงเทรา!J16"")"),0.0)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IFERROR(__xludf.DUMMYFUNCTION("IMPORTRANGE(""https://docs.google.com/spreadsheets/d/1SX6NBoVAgQJ6U1MVXOaj8PK2l7WJ3RER9xtqwdhxkhw/edit?usp=sharing"",""ฉะเชิงเทรา!J17"")"),0.0)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IFERROR(__xludf.DUMMYFUNCTION("IMPORTRANGE(""https://docs.google.com/spreadsheets/d/1SX6NBoVAgQJ6U1MVXOaj8PK2l7WJ3RER9xtqwdhxkhw/edit?usp=sharing"",""ฉะเชิงเทรา!J18"")"),0.0)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IFERROR(__xludf.DUMMYFUNCTION("IMPORTRANGE(""https://docs.google.com/spreadsheets/d/1SX6NBoVAgQJ6U1MVXOaj8PK2l7WJ3RER9xtqwdhxkhw/edit?usp=sharing"",""ฉะเชิงเทรา!J19"")"),0.0)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IFERROR(__xludf.DUMMYFUNCTION("IMPORTRANGE(""https://docs.google.com/spreadsheets/d/1SX6NBoVAgQJ6U1MVXOaj8PK2l7WJ3RER9xtqwdhxkhw/edit?usp=sharing"",""ฉะเชิงเทรา!I20"")"),0.0)</f>
        <v>0</v>
      </c>
      <c r="J80" s="235">
        <f>IFERROR(__xludf.DUMMYFUNCTION("IMPORTRANGE(""https://docs.google.com/spreadsheets/d/1SX6NBoVAgQJ6U1MVXOaj8PK2l7WJ3RER9xtqwdhxkhw/edit?usp=sharing"",""ฉะเชิงเทรา!J20"")"),0.0)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IFERROR(__xludf.DUMMYFUNCTION("IMPORTRANGE(""https://docs.google.com/spreadsheets/d/1SX6NBoVAgQJ6U1MVXOaj8PK2l7WJ3RER9xtqwdhxkhw/edit?usp=sharing"",""ฉะเชิงเทรา!I21"")"),0.0)</f>
        <v>0</v>
      </c>
      <c r="J81" s="235">
        <f>IFERROR(__xludf.DUMMYFUNCTION("IMPORTRANGE(""https://docs.google.com/spreadsheets/d/1SX6NBoVAgQJ6U1MVXOaj8PK2l7WJ3RER9xtqwdhxkhw/edit?usp=sharing"",""ฉะเชิงเทรา!J21"")"),0.0)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IFERROR(__xludf.DUMMYFUNCTION("IMPORTRANGE(""https://docs.google.com/spreadsheets/d/1SX6NBoVAgQJ6U1MVXOaj8PK2l7WJ3RER9xtqwdhxkhw/edit?usp=sharing"",""ฉะเชิงเทรา!I22"")"),0.0)</f>
        <v>0</v>
      </c>
      <c r="J82" s="238">
        <f>IFERROR(__xludf.DUMMYFUNCTION("IMPORTRANGE(""https://docs.google.com/spreadsheets/d/1SX6NBoVAgQJ6U1MVXOaj8PK2l7WJ3RER9xtqwdhxkhw/edit?usp=sharing"",""ฉะเชิงเทรา!J22"")"),0.0)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IFERROR(__xludf.DUMMYFUNCTION("IMPORTRANGE(""https://docs.google.com/spreadsheets/d/1SX6NBoVAgQJ6U1MVXOaj8PK2l7WJ3RER9xtqwdhxkhw/edit?usp=sharing"",""ฉะเชิงเทรา!I23"")"),0.0)</f>
        <v>0</v>
      </c>
      <c r="J83" s="238">
        <f>IFERROR(__xludf.DUMMYFUNCTION("IMPORTRANGE(""https://docs.google.com/spreadsheets/d/1SX6NBoVAgQJ6U1MVXOaj8PK2l7WJ3RER9xtqwdhxkhw/edit?usp=sharing"",""ฉะเชิงเทรา!J23"")"),0.0)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IFERROR(__xludf.DUMMYFUNCTION("IMPORTRANGE(""https://docs.google.com/spreadsheets/d/1SX6NBoVAgQJ6U1MVXOaj8PK2l7WJ3RER9xtqwdhxkhw/edit?usp=sharing"",""ฉะเชิงเทรา!I24"")"),0.0)</f>
        <v>0</v>
      </c>
      <c r="J84" s="223">
        <f>IFERROR(__xludf.DUMMYFUNCTION("IMPORTRANGE(""https://docs.google.com/spreadsheets/d/1SX6NBoVAgQJ6U1MVXOaj8PK2l7WJ3RER9xtqwdhxkhw/edit?usp=sharing"",""ฉะเชิงเทรา!J24"")"),0.0)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IFERROR(__xludf.DUMMYFUNCTION("IMPORTRANGE(""https://docs.google.com/spreadsheets/d/1SX6NBoVAgQJ6U1MVXOaj8PK2l7WJ3RER9xtqwdhxkhw/edit?usp=sharing"",""ฉะเชิงเทรา!I25"")"),0.0)</f>
        <v>0</v>
      </c>
      <c r="J85" s="223">
        <f>IFERROR(__xludf.DUMMYFUNCTION("IMPORTRANGE(""https://docs.google.com/spreadsheets/d/1SX6NBoVAgQJ6U1MVXOaj8PK2l7WJ3RER9xtqwdhxkhw/edit?usp=sharing"",""ฉะเชิงเทรา!J25"")"),0.0)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IFERROR(__xludf.DUMMYFUNCTION("IMPORTRANGE(""https://docs.google.com/spreadsheets/d/1SX6NBoVAgQJ6U1MVXOaj8PK2l7WJ3RER9xtqwdhxkhw/edit?usp=sharing"",""ฉะเชิงเทรา!I26"")"),0.0)</f>
        <v>0</v>
      </c>
      <c r="J86" s="238">
        <f>IFERROR(__xludf.DUMMYFUNCTION("IMPORTRANGE(""https://docs.google.com/spreadsheets/d/1SX6NBoVAgQJ6U1MVXOaj8PK2l7WJ3RER9xtqwdhxkhw/edit?usp=sharing"",""ฉะเชิงเทรา!J26"")"),0.0)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IFERROR(__xludf.DUMMYFUNCTION("IMPORTRANGE(""https://docs.google.com/spreadsheets/d/1SX6NBoVAgQJ6U1MVXOaj8PK2l7WJ3RER9xtqwdhxkhw/edit?usp=sharing"",""ฉะเชิงเทรา!I27"")"),0.0)</f>
        <v>0</v>
      </c>
      <c r="J87" s="238">
        <f>IFERROR(__xludf.DUMMYFUNCTION("IMPORTRANGE(""https://docs.google.com/spreadsheets/d/1SX6NBoVAgQJ6U1MVXOaj8PK2l7WJ3RER9xtqwdhxkhw/edit?usp=sharing"",""ฉะเชิงเทรา!J27"")"),0.0)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IFERROR(__xludf.DUMMYFUNCTION("IMPORTRANGE(""https://docs.google.com/spreadsheets/d/1SX6NBoVAgQJ6U1MVXOaj8PK2l7WJ3RER9xtqwdhxkhw/edit?usp=sharing"",""ฉะเชิงเทรา!I28"")"),0.0)</f>
        <v>0</v>
      </c>
      <c r="J88" s="238">
        <f>IFERROR(__xludf.DUMMYFUNCTION("IMPORTRANGE(""https://docs.google.com/spreadsheets/d/1SX6NBoVAgQJ6U1MVXOaj8PK2l7WJ3RER9xtqwdhxkhw/edit?usp=sharing"",""ฉะเชิงเทรา!J28"")"),0.0)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IFERROR(__xludf.DUMMYFUNCTION("IMPORTRANGE(""https://docs.google.com/spreadsheets/d/1SX6NBoVAgQJ6U1MVXOaj8PK2l7WJ3RER9xtqwdhxkhw/edit?usp=sharing"",""ฉะเชิงเทรา!J29"")"),0.0)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IFERROR(__xludf.DUMMYFUNCTION("IMPORTRANGE(""https://docs.google.com/spreadsheets/d/1SX6NBoVAgQJ6U1MVXOaj8PK2l7WJ3RER9xtqwdhxkhw/edit?usp=sharing"",""ฉะเชิงเทรา!J30"")"),0.0)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IFERROR(__xludf.DUMMYFUNCTION("IMPORTRANGE(""https://docs.google.com/spreadsheets/d/1SX6NBoVAgQJ6U1MVXOaj8PK2l7WJ3RER9xtqwdhxkhw/edit?usp=sharing"",""ฉะเชิงเทรา!I32"")"),4.0)</f>
        <v>4</v>
      </c>
      <c r="J92" s="172">
        <f>IFERROR(__xludf.DUMMYFUNCTION("IMPORTRANGE(""https://docs.google.com/spreadsheets/d/1SX6NBoVAgQJ6U1MVXOaj8PK2l7WJ3RER9xtqwdhxkhw/edit?usp=sharing"",""ฉะเชิงเทรา!J32"")"),4.0)</f>
        <v>4</v>
      </c>
      <c r="K92" s="173">
        <f t="shared" ref="K92:K93" si="52">IF(I92&gt;0,J92*100/I92,0)</f>
        <v>100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IFERROR(__xludf.DUMMYFUNCTION("IMPORTRANGE(""https://docs.google.com/spreadsheets/d/1SX6NBoVAgQJ6U1MVXOaj8PK2l7WJ3RER9xtqwdhxkhw/edit?usp=sharing"",""ฉะเชิงเทรา!I33"")"),1.0)</f>
        <v>1</v>
      </c>
      <c r="J93" s="172">
        <f>IFERROR(__xludf.DUMMYFUNCTION("IMPORTRANGE(""https://docs.google.com/spreadsheets/d/1SX6NBoVAgQJ6U1MVXOaj8PK2l7WJ3RER9xtqwdhxkhw/edit?usp=sharing"",""ฉะเชิงเทรา!J33"")"),0.0)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11690</v>
      </c>
      <c r="O94" s="182">
        <f t="shared" ref="O94:O96" si="55">IF(L94&gt;0,N94*100/L94,0)</f>
        <v>5.44988345</v>
      </c>
      <c r="P94" s="182">
        <f t="shared" ref="P94:P96" si="56">IF(M94&gt;0,N94*100/M94,0)</f>
        <v>17.00858432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11690</v>
      </c>
      <c r="O96" s="187">
        <f t="shared" si="55"/>
        <v>5.44988345</v>
      </c>
      <c r="P96" s="187">
        <f t="shared" si="56"/>
        <v>17.00858432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IFERROR(__xludf.DUMMYFUNCTION("IMPORTRANGE(""https://docs.google.com/spreadsheets/d/1Yj_ptqi66GCucihVvJfMjLAmec39IyEx_6qawtMGysU/edit?usp=sharing"",""สบก!AR61"")"),68730.0)</f>
        <v>68730</v>
      </c>
      <c r="N98" s="202">
        <f>IFERROR(__xludf.DUMMYFUNCTION("IMPORTRANGE(""https://docs.google.com/spreadsheets/d/1Yj_ptqi66GCucihVvJfMjLAmec39IyEx_6qawtMGysU/edit?usp=sharing"",""สบก!AS61"")"),11690.0)</f>
        <v>11690</v>
      </c>
      <c r="O98" s="203">
        <f>IF(L98&gt;0,N98*100/L98,0)</f>
        <v>9.574119574</v>
      </c>
      <c r="P98" s="203">
        <f>IF(M98&gt;0,N98*100/M98,0)</f>
        <v>17.00858432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IFERROR(__xludf.DUMMYFUNCTION("IMPORTRANGE(""https://docs.google.com/spreadsheets/d/1Yj_ptqi66GCucihVvJfMjLAmec39IyEx_6qawtMGysU/edit?usp=sharing"",""สบก!AN61"")"),0.0)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IFERROR(__xludf.DUMMYFUNCTION("IMPORTRANGE(""https://docs.google.com/spreadsheets/d/1Yj_ptqi66GCucihVvJfMjLAmec39IyEx_6qawtMGysU/edit?usp=sharing"",""สบก!AO61"")"),122100.0)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IFERROR(__xludf.DUMMYFUNCTION("IMPORTRANGE(""https://docs.google.com/spreadsheets/d/1Yj_ptqi66GCucihVvJfMjLAmec39IyEx_6qawtMGysU/edit?usp=sharing"",""สบก!AP61"")"),92400.0)</f>
        <v>92400</v>
      </c>
      <c r="M102" s="125"/>
      <c r="N102" s="115">
        <f>IFERROR(__xludf.DUMMYFUNCTION("IMPORTRANGE(""https://docs.google.com/spreadsheets/d/1Yj_ptqi66GCucihVvJfMjLAmec39IyEx_6qawtMGysU/edit?usp=sharing"",""สบก!AT61"")"),0.0)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 t="str">
        <f>IFERROR(__xludf.DUMMYFUNCTION("IMPORTRANGE(""https://docs.google.com/spreadsheets/d/1SX6NBoVAgQJ6U1MVXOaj8PK2l7WJ3RER9xtqwdhxkhw/edit?usp=sharing"",""ฉะเชิงเทรา!J39"")"),"")</f>
        <v/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IFERROR(__xludf.DUMMYFUNCTION("IMPORTRANGE(""https://docs.google.com/spreadsheets/d/1SX6NBoVAgQJ6U1MVXOaj8PK2l7WJ3RER9xtqwdhxkhw/edit?usp=sharing"",""ฉะเชิงเทรา!J40"")"),1.0)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IFERROR(__xludf.DUMMYFUNCTION("IMPORTRANGE(""https://docs.google.com/spreadsheets/d/1SX6NBoVAgQJ6U1MVXOaj8PK2l7WJ3RER9xtqwdhxkhw/edit?usp=sharing"",""ฉะเชิงเทรา!J41"")"),1.0)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IFERROR(__xludf.DUMMYFUNCTION("IMPORTRANGE(""https://docs.google.com/spreadsheets/d/1SX6NBoVAgQJ6U1MVXOaj8PK2l7WJ3RER9xtqwdhxkhw/edit?usp=sharing"",""ฉะเชิงเทรา!J42"")"),1.0)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IFERROR(__xludf.DUMMYFUNCTION("IMPORTRANGE(""https://docs.google.com/spreadsheets/d/1SX6NBoVAgQJ6U1MVXOaj8PK2l7WJ3RER9xtqwdhxkhw/edit?usp=sharing"",""ฉะเชิงเทรา!I43"")"),1.0)</f>
        <v>1</v>
      </c>
      <c r="J108" s="238">
        <f>IFERROR(__xludf.DUMMYFUNCTION("IMPORTRANGE(""https://docs.google.com/spreadsheets/d/1SX6NBoVAgQJ6U1MVXOaj8PK2l7WJ3RER9xtqwdhxkhw/edit?usp=sharing"",""ฉะเชิงเทรา!J43"")"),0.0)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IFERROR(__xludf.DUMMYFUNCTION("IMPORTRANGE(""https://docs.google.com/spreadsheets/d/1SX6NBoVAgQJ6U1MVXOaj8PK2l7WJ3RER9xtqwdhxkhw/edit?usp=sharing"",""ฉะเชิงเทรา!I44"")"),4.0)</f>
        <v>4</v>
      </c>
      <c r="J109" s="238">
        <f>IFERROR(__xludf.DUMMYFUNCTION("IMPORTRANGE(""https://docs.google.com/spreadsheets/d/1SX6NBoVAgQJ6U1MVXOaj8PK2l7WJ3RER9xtqwdhxkhw/edit?usp=sharing"",""ฉะเชิงเทรา!J44"")"),4.0)</f>
        <v>4</v>
      </c>
      <c r="K109" s="258">
        <f t="shared" si="58"/>
        <v>100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IFERROR(__xludf.DUMMYFUNCTION("IMPORTRANGE(""https://docs.google.com/spreadsheets/d/1SX6NBoVAgQJ6U1MVXOaj8PK2l7WJ3RER9xtqwdhxkhw/edit?usp=sharing"",""ฉะเชิงเทรา!I45"")"),4.0)</f>
        <v>4</v>
      </c>
      <c r="J110" s="238">
        <f>IFERROR(__xludf.DUMMYFUNCTION("IMPORTRANGE(""https://docs.google.com/spreadsheets/d/1SX6NBoVAgQJ6U1MVXOaj8PK2l7WJ3RER9xtqwdhxkhw/edit?usp=sharing"",""ฉะเชิงเทรา!J45"")"),0.0)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IFERROR(__xludf.DUMMYFUNCTION("IMPORTRANGE(""https://docs.google.com/spreadsheets/d/1SX6NBoVAgQJ6U1MVXOaj8PK2l7WJ3RER9xtqwdhxkhw/edit?usp=sharing"",""ฉะเชิงเทรา!I46"")"),4.0)</f>
        <v>4</v>
      </c>
      <c r="J111" s="238">
        <f>IFERROR(__xludf.DUMMYFUNCTION("IMPORTRANGE(""https://docs.google.com/spreadsheets/d/1SX6NBoVAgQJ6U1MVXOaj8PK2l7WJ3RER9xtqwdhxkhw/edit?usp=sharing"",""ฉะเชิงเทรา!J46"")"),0.0)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IFERROR(__xludf.DUMMYFUNCTION("IMPORTRANGE(""https://docs.google.com/spreadsheets/d/1SX6NBoVAgQJ6U1MVXOaj8PK2l7WJ3RER9xtqwdhxkhw/edit?usp=sharing"",""ฉะเชิงเทรา!I47"")"),4.0)</f>
        <v>4</v>
      </c>
      <c r="J112" s="238">
        <f>IFERROR(__xludf.DUMMYFUNCTION("IMPORTRANGE(""https://docs.google.com/spreadsheets/d/1SX6NBoVAgQJ6U1MVXOaj8PK2l7WJ3RER9xtqwdhxkhw/edit?usp=sharing"",""ฉะเชิงเทรา!J47"")"),0.0)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IFERROR(__xludf.DUMMYFUNCTION("IMPORTRANGE(""https://docs.google.com/spreadsheets/d/1SX6NBoVAgQJ6U1MVXOaj8PK2l7WJ3RER9xtqwdhxkhw/edit?usp=sharing"",""ฉะเชิงเทรา!I48"")"),1.0)</f>
        <v>1</v>
      </c>
      <c r="J113" s="238">
        <f>IFERROR(__xludf.DUMMYFUNCTION("IMPORTRANGE(""https://docs.google.com/spreadsheets/d/1SX6NBoVAgQJ6U1MVXOaj8PK2l7WJ3RER9xtqwdhxkhw/edit?usp=sharing"",""ฉะเชิงเทรา!J48"")"),0.0)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IFERROR(__xludf.DUMMYFUNCTION("IMPORTRANGE(""https://docs.google.com/spreadsheets/d/1SX6NBoVAgQJ6U1MVXOaj8PK2l7WJ3RER9xtqwdhxkhw/edit?usp=sharing"",""ฉะเชิงเทรา!J49"")"),0.0)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IFERROR(__xludf.DUMMYFUNCTION("IMPORTRANGE(""https://docs.google.com/spreadsheets/d/1SX6NBoVAgQJ6U1MVXOaj8PK2l7WJ3RER9xtqwdhxkhw/edit?usp=sharing"",""ฉะเชิงเทรา!J50"")"),0.0)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IFERROR(__xludf.DUMMYFUNCTION("IMPORTRANGE(""https://docs.google.com/spreadsheets/d/1SX6NBoVAgQJ6U1MVXOaj8PK2l7WJ3RER9xtqwdhxkhw/edit?usp=sharing"",""ฉะเชิงเทรา!I52"")"),20.0)</f>
        <v>20</v>
      </c>
      <c r="J117" s="172">
        <f>IFERROR(__xludf.DUMMYFUNCTION("IMPORTRANGE(""https://docs.google.com/spreadsheets/d/1SX6NBoVAgQJ6U1MVXOaj8PK2l7WJ3RER9xtqwdhxkhw/edit?usp=sharing"",""ฉะเชิงเทรา!J52"")"),20.0)</f>
        <v>20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62840</v>
      </c>
      <c r="O118" s="182">
        <f t="shared" ref="O118:O120" si="61">IF(L118&gt;0,N118*100/L118,0)</f>
        <v>76.22513343</v>
      </c>
      <c r="P118" s="182">
        <f t="shared" ref="P118:P120" si="62">IF(M118&gt;0,N118*100/M118,0)</f>
        <v>94.58157736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62840</v>
      </c>
      <c r="O120" s="187">
        <f t="shared" si="61"/>
        <v>76.22513343</v>
      </c>
      <c r="P120" s="187">
        <f t="shared" si="62"/>
        <v>94.58157736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IFERROR(__xludf.DUMMYFUNCTION("IMPORTRANGE(""https://docs.google.com/spreadsheets/d/1Yj_ptqi66GCucihVvJfMjLAmec39IyEx_6qawtMGysU/edit?usp=sharing"",""สบก!BA61"")"),66440.0)</f>
        <v>66440</v>
      </c>
      <c r="N122" s="202">
        <f>IFERROR(__xludf.DUMMYFUNCTION("IMPORTRANGE(""https://docs.google.com/spreadsheets/d/1Yj_ptqi66GCucihVvJfMjLAmec39IyEx_6qawtMGysU/edit?usp=sharing"",""สบก!BB61"")"),62840.0)</f>
        <v>62840</v>
      </c>
      <c r="O122" s="203">
        <f>IF(L122&gt;0,N122*100/L122,0)</f>
        <v>76.22513343</v>
      </c>
      <c r="P122" s="203">
        <f>IF(M122&gt;0,N122*100/M122,0)</f>
        <v>94.58157736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IFERROR(__xludf.DUMMYFUNCTION("IMPORTRANGE(""https://docs.google.com/spreadsheets/d/1Yj_ptqi66GCucihVvJfMjLAmec39IyEx_6qawtMGysU/edit?usp=sharing"",""สบก!AW61"")"),0.0)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IFERROR(__xludf.DUMMYFUNCTION("IMPORTRANGE(""https://docs.google.com/spreadsheets/d/1Yj_ptqi66GCucihVvJfMjLAmec39IyEx_6qawtMGysU/edit?usp=sharing"",""สบก!AX61"")"),82440.0)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IFERROR(__xludf.DUMMYFUNCTION("IMPORTRANGE(""https://docs.google.com/spreadsheets/d/1Yj_ptqi66GCucihVvJfMjLAmec39IyEx_6qawtMGysU/edit?usp=sharing"",""สบก!AY61"")"),0.0)</f>
        <v>0</v>
      </c>
      <c r="M126" s="125"/>
      <c r="N126" s="115">
        <f>IFERROR(__xludf.DUMMYFUNCTION("IMPORTRANGE(""https://docs.google.com/spreadsheets/d/1Yj_ptqi66GCucihVvJfMjLAmec39IyEx_6qawtMGysU/edit?usp=sharing"",""สบก!BC61"")"),0.0)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IFERROR(__xludf.DUMMYFUNCTION("IMPORTRANGE(""https://docs.google.com/spreadsheets/d/1SX6NBoVAgQJ6U1MVXOaj8PK2l7WJ3RER9xtqwdhxkhw/edit?usp=sharing"",""ฉะเชิงเทรา!J58"")"),0.0)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IFERROR(__xludf.DUMMYFUNCTION("IMPORTRANGE(""https://docs.google.com/spreadsheets/d/1SX6NBoVAgQJ6U1MVXOaj8PK2l7WJ3RER9xtqwdhxkhw/edit?usp=sharing"",""ฉะเชิงเทรา!J59"")"),1.0)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IFERROR(__xludf.DUMMYFUNCTION("IMPORTRANGE(""https://docs.google.com/spreadsheets/d/1SX6NBoVAgQJ6U1MVXOaj8PK2l7WJ3RER9xtqwdhxkhw/edit?usp=sharing"",""ฉะเชิงเทรา!J60"")"),1.0)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IFERROR(__xludf.DUMMYFUNCTION("IMPORTRANGE(""https://docs.google.com/spreadsheets/d/1SX6NBoVAgQJ6U1MVXOaj8PK2l7WJ3RER9xtqwdhxkhw/edit?usp=sharing"",""ฉะเชิงเทรา!J61"")"),1.0)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IFERROR(__xludf.DUMMYFUNCTION("IMPORTRANGE(""https://docs.google.com/spreadsheets/d/1SX6NBoVAgQJ6U1MVXOaj8PK2l7WJ3RER9xtqwdhxkhw/edit?usp=sharing"",""ฉะเชิงเทรา!I62"")"),20.0)</f>
        <v>20</v>
      </c>
      <c r="J132" s="238">
        <f>IFERROR(__xludf.DUMMYFUNCTION("IMPORTRANGE(""https://docs.google.com/spreadsheets/d/1SX6NBoVAgQJ6U1MVXOaj8PK2l7WJ3RER9xtqwdhxkhw/edit?usp=sharing"",""ฉะเชิงเทรา!J62"")"),20.0)</f>
        <v>20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IFERROR(__xludf.DUMMYFUNCTION("IMPORTRANGE(""https://docs.google.com/spreadsheets/d/1SX6NBoVAgQJ6U1MVXOaj8PK2l7WJ3RER9xtqwdhxkhw/edit?usp=sharing"",""ฉะเชิงเทรา!I63"")"),20.0)</f>
        <v>20</v>
      </c>
      <c r="J133" s="238">
        <f>IFERROR(__xludf.DUMMYFUNCTION("IMPORTRANGE(""https://docs.google.com/spreadsheets/d/1SX6NBoVAgQJ6U1MVXOaj8PK2l7WJ3RER9xtqwdhxkhw/edit?usp=sharing"",""ฉะเชิงเทรา!J63"")"),0.0)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IFERROR(__xludf.DUMMYFUNCTION("IMPORTRANGE(""https://docs.google.com/spreadsheets/d/1SX6NBoVAgQJ6U1MVXOaj8PK2l7WJ3RER9xtqwdhxkhw/edit?usp=sharing"",""ฉะเชิงเทรา!J64"")"),0.0)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IFERROR(__xludf.DUMMYFUNCTION("IMPORTRANGE(""https://docs.google.com/spreadsheets/d/1SX6NBoVAgQJ6U1MVXOaj8PK2l7WJ3RER9xtqwdhxkhw/edit?usp=sharing"",""ฉะเชิงเทรา!J65"")"),0.0)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IFERROR(__xludf.DUMMYFUNCTION("IMPORTRANGE(""https://docs.google.com/spreadsheets/d/1SX6NBoVAgQJ6U1MVXOaj8PK2l7WJ3RER9xtqwdhxkhw/edit?usp=sharing"",""ฉะเชิงเทรา!I68"")"),95.0)</f>
        <v>95</v>
      </c>
      <c r="J138" s="301">
        <f>IFERROR(__xludf.DUMMYFUNCTION("IMPORTRANGE(""https://docs.google.com/spreadsheets/d/1SX6NBoVAgQJ6U1MVXOaj8PK2l7WJ3RER9xtqwdhxkhw/edit?usp=sharing"",""ฉะเชิงเทรา!J68"")"),95.0)</f>
        <v>95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842400</v>
      </c>
      <c r="M140" s="183">
        <f t="shared" si="65"/>
        <v>449350</v>
      </c>
      <c r="N140" s="183">
        <f t="shared" si="65"/>
        <v>265725</v>
      </c>
      <c r="O140" s="182">
        <f t="shared" ref="O140:O142" si="67">IF(L140&gt;0,N140*100/L140,0)</f>
        <v>31.54380342</v>
      </c>
      <c r="P140" s="182">
        <f t="shared" ref="P140:P142" si="68">IF(M140&gt;0,N140*100/M140,0)</f>
        <v>59.13541783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842400</v>
      </c>
      <c r="M142" s="188">
        <f t="shared" si="69"/>
        <v>449350</v>
      </c>
      <c r="N142" s="188">
        <f t="shared" si="69"/>
        <v>265725</v>
      </c>
      <c r="O142" s="187">
        <f t="shared" si="67"/>
        <v>31.54380342</v>
      </c>
      <c r="P142" s="187">
        <f t="shared" si="68"/>
        <v>59.13541783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842400</v>
      </c>
      <c r="M144" s="201">
        <f>IFERROR(__xludf.DUMMYFUNCTION("IMPORTRANGE(""https://docs.google.com/spreadsheets/d/1Yj_ptqi66GCucihVvJfMjLAmec39IyEx_6qawtMGysU/edit?usp=sharing"",""สบก!BJ61"")"),449350.0)</f>
        <v>449350</v>
      </c>
      <c r="N144" s="202">
        <f>IFERROR(__xludf.DUMMYFUNCTION("IMPORTRANGE(""https://docs.google.com/spreadsheets/d/1Yj_ptqi66GCucihVvJfMjLAmec39IyEx_6qawtMGysU/edit?usp=sharing"",""สบก!BK61"")"),265725.0)</f>
        <v>265725</v>
      </c>
      <c r="O144" s="203">
        <f>IF(L144&gt;0,N144*100/L144,0)</f>
        <v>31.54380342</v>
      </c>
      <c r="P144" s="203">
        <f>IF(M144&gt;0,N144*100/M144,0)</f>
        <v>59.13541783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IFERROR(__xludf.DUMMYFUNCTION("IMPORTRANGE(""https://docs.google.com/spreadsheets/d/1Yj_ptqi66GCucihVvJfMjLAmec39IyEx_6qawtMGysU/edit?usp=sharing"",""สบก!BF61"")"),311500.0)</f>
        <v>311500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IFERROR(__xludf.DUMMYFUNCTION("IMPORTRANGE(""https://docs.google.com/spreadsheets/d/1Yj_ptqi66GCucihVvJfMjLAmec39IyEx_6qawtMGysU/edit?usp=sharing"",""สบก!BG61"")"),530900.0)</f>
        <v>530900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IFERROR(__xludf.DUMMYFUNCTION("IMPORTRANGE(""https://docs.google.com/spreadsheets/d/1Yj_ptqi66GCucihVvJfMjLAmec39IyEx_6qawtMGysU/edit?usp=sharing"",""สบก!BH61"")"),0.0)</f>
        <v>0</v>
      </c>
      <c r="M148" s="125"/>
      <c r="N148" s="115">
        <f>IFERROR(__xludf.DUMMYFUNCTION("IMPORTRANGE(""https://docs.google.com/spreadsheets/d/1Yj_ptqi66GCucihVvJfMjLAmec39IyEx_6qawtMGysU/edit?usp=sharing"",""สบก!BL61"")"),0.0)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IFERROR(__xludf.DUMMYFUNCTION("IMPORTRANGE(""https://docs.google.com/spreadsheets/d/1SX6NBoVAgQJ6U1MVXOaj8PK2l7WJ3RER9xtqwdhxkhw/edit?usp=sharing"",""ฉะเชิงเทรา!I74"")"),4.0)</f>
        <v>4</v>
      </c>
      <c r="J149" s="309">
        <f>IFERROR(__xludf.DUMMYFUNCTION("IMPORTRANGE(""https://docs.google.com/spreadsheets/d/1SX6NBoVAgQJ6U1MVXOaj8PK2l7WJ3RER9xtqwdhxkhw/edit?usp=sharing"",""ฉะเชิงเทรา!J74"")"),1.0)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IFERROR(__xludf.DUMMYFUNCTION("IMPORTRANGE(""https://docs.google.com/spreadsheets/d/1SX6NBoVAgQJ6U1MVXOaj8PK2l7WJ3RER9xtqwdhxkhw/edit?usp=sharing"",""ฉะเชิงเทรา!J79"")"),0.0)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IFERROR(__xludf.DUMMYFUNCTION("IMPORTRANGE(""https://docs.google.com/spreadsheets/d/1SX6NBoVAgQJ6U1MVXOaj8PK2l7WJ3RER9xtqwdhxkhw/edit?usp=sharing"",""ฉะเชิงเทรา!J80"")"),1.0)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IFERROR(__xludf.DUMMYFUNCTION("IMPORTRANGE(""https://docs.google.com/spreadsheets/d/1SX6NBoVAgQJ6U1MVXOaj8PK2l7WJ3RER9xtqwdhxkhw/edit?usp=sharing"",""ฉะเชิงเทรา!J81"")"),1.0)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IFERROR(__xludf.DUMMYFUNCTION("IMPORTRANGE(""https://docs.google.com/spreadsheets/d/1SX6NBoVAgQJ6U1MVXOaj8PK2l7WJ3RER9xtqwdhxkhw/edit?usp=sharing"",""ฉะเชิงเทรา!J82"")"),1.0)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IFERROR(__xludf.DUMMYFUNCTION("IMPORTRANGE(""https://docs.google.com/spreadsheets/d/1SX6NBoVAgQJ6U1MVXOaj8PK2l7WJ3RER9xtqwdhxkhw/edit?usp=sharing"",""ฉะเชิงเทรา!I83"")"),4.0)</f>
        <v>4</v>
      </c>
      <c r="J158" s="223">
        <f>IFERROR(__xludf.DUMMYFUNCTION("IMPORTRANGE(""https://docs.google.com/spreadsheets/d/1SX6NBoVAgQJ6U1MVXOaj8PK2l7WJ3RER9xtqwdhxkhw/edit?usp=sharing"",""ฉะเชิงเทรา!J83"")"),1.0)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IFERROR(__xludf.DUMMYFUNCTION("IMPORTRANGE(""https://docs.google.com/spreadsheets/d/1SX6NBoVAgQJ6U1MVXOaj8PK2l7WJ3RER9xtqwdhxkhw/edit?usp=sharing"",""ฉะเชิงเทรา!J84"")"),0.0)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IFERROR(__xludf.DUMMYFUNCTION("IMPORTRANGE(""https://docs.google.com/spreadsheets/d/1SX6NBoVAgQJ6U1MVXOaj8PK2l7WJ3RER9xtqwdhxkhw/edit?usp=sharing"",""ฉะเชิงเทรา!J85"")"),0.0)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IFERROR(__xludf.DUMMYFUNCTION("IMPORTRANGE(""https://docs.google.com/spreadsheets/d/1SX6NBoVAgQJ6U1MVXOaj8PK2l7WJ3RER9xtqwdhxkhw/edit?usp=sharing"",""ฉะเชิงเทรา!J86"")"),0.0)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IFERROR(__xludf.DUMMYFUNCTION("IMPORTRANGE(""https://docs.google.com/spreadsheets/d/1SX6NBoVAgQJ6U1MVXOaj8PK2l7WJ3RER9xtqwdhxkhw/edit?usp=sharing"",""ฉะเชิงเทรา!J87"")"),0.0)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IFERROR(__xludf.DUMMYFUNCTION("IMPORTRANGE(""https://docs.google.com/spreadsheets/d/1SX6NBoVAgQJ6U1MVXOaj8PK2l7WJ3RER9xtqwdhxkhw/edit?usp=sharing"",""ฉะเชิงเทรา!J88"")"),0.0)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IFERROR(__xludf.DUMMYFUNCTION("IMPORTRANGE(""https://docs.google.com/spreadsheets/d/1SX6NBoVAgQJ6U1MVXOaj8PK2l7WJ3RER9xtqwdhxkhw/edit?usp=sharing"",""ฉะเชิงเทรา!I89"")"),4.0)</f>
        <v>4</v>
      </c>
      <c r="J164" s="317">
        <f>IFERROR(__xludf.DUMMYFUNCTION("IMPORTRANGE(""https://docs.google.com/spreadsheets/d/1SX6NBoVAgQJ6U1MVXOaj8PK2l7WJ3RER9xtqwdhxkhw/edit?usp=sharing"",""ฉะเชิงเทรา!J89"")"),0.0)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IFERROR(__xludf.DUMMYFUNCTION("IMPORTRANGE(""https://docs.google.com/spreadsheets/d/1SX6NBoVAgQJ6U1MVXOaj8PK2l7WJ3RER9xtqwdhxkhw/edit?usp=sharing"",""ฉะเชิงเทรา!J94"")"),1.0)</f>
        <v>1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IFERROR(__xludf.DUMMYFUNCTION("IMPORTRANGE(""https://docs.google.com/spreadsheets/d/1SX6NBoVAgQJ6U1MVXOaj8PK2l7WJ3RER9xtqwdhxkhw/edit?usp=sharing"",""ฉะเชิงเทรา!J95"")"),0.0)</f>
        <v>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IFERROR(__xludf.DUMMYFUNCTION("IMPORTRANGE(""https://docs.google.com/spreadsheets/d/1SX6NBoVAgQJ6U1MVXOaj8PK2l7WJ3RER9xtqwdhxkhw/edit?usp=sharing"",""ฉะเชิงเทรา!J96"")"),0.0)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IFERROR(__xludf.DUMMYFUNCTION("IMPORTRANGE(""https://docs.google.com/spreadsheets/d/1SX6NBoVAgQJ6U1MVXOaj8PK2l7WJ3RER9xtqwdhxkhw/edit?usp=sharing"",""ฉะเชิงเทรา!J97"")"),0.0)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IFERROR(__xludf.DUMMYFUNCTION("IMPORTRANGE(""https://docs.google.com/spreadsheets/d/1SX6NBoVAgQJ6U1MVXOaj8PK2l7WJ3RER9xtqwdhxkhw/edit?usp=sharing"",""ฉะเชิงเทรา!I98"")"),4.0)</f>
        <v>4</v>
      </c>
      <c r="J173" s="223">
        <f>IFERROR(__xludf.DUMMYFUNCTION("IMPORTRANGE(""https://docs.google.com/spreadsheets/d/1SX6NBoVAgQJ6U1MVXOaj8PK2l7WJ3RER9xtqwdhxkhw/edit?usp=sharing"",""ฉะเชิงเทรา!J98"")"),0.0)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IFERROR(__xludf.DUMMYFUNCTION("IMPORTRANGE(""https://docs.google.com/spreadsheets/d/1SX6NBoVAgQJ6U1MVXOaj8PK2l7WJ3RER9xtqwdhxkhw/edit?usp=sharing"",""ฉะเชิงเทรา!J99"")"),0.0)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IFERROR(__xludf.DUMMYFUNCTION("IMPORTRANGE(""https://docs.google.com/spreadsheets/d/1SX6NBoVAgQJ6U1MVXOaj8PK2l7WJ3RER9xtqwdhxkhw/edit?usp=sharing"",""ฉะเชิงเทรา!J100"")"),0.0)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IFERROR(__xludf.DUMMYFUNCTION("IMPORTRANGE(""https://docs.google.com/spreadsheets/d/1SX6NBoVAgQJ6U1MVXOaj8PK2l7WJ3RER9xtqwdhxkhw/edit?usp=sharing"",""ฉะเชิงเทรา!I101"")"),3.0)</f>
        <v>3</v>
      </c>
      <c r="J176" s="317">
        <f>IFERROR(__xludf.DUMMYFUNCTION("IMPORTRANGE(""https://docs.google.com/spreadsheets/d/1SX6NBoVAgQJ6U1MVXOaj8PK2l7WJ3RER9xtqwdhxkhw/edit?usp=sharing"",""ฉะเชิงเทรา!J101"")"),0.0)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IFERROR(__xludf.DUMMYFUNCTION("IMPORTRANGE(""https://docs.google.com/spreadsheets/d/1SX6NBoVAgQJ6U1MVXOaj8PK2l7WJ3RER9xtqwdhxkhw/edit?usp=sharing"",""ฉะเชิงเทรา!J106"")"),1.0)</f>
        <v>1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IFERROR(__xludf.DUMMYFUNCTION("IMPORTRANGE(""https://docs.google.com/spreadsheets/d/1SX6NBoVAgQJ6U1MVXOaj8PK2l7WJ3RER9xtqwdhxkhw/edit?usp=sharing"",""ฉะเชิงเทรา!J107"")"),0.0)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IFERROR(__xludf.DUMMYFUNCTION("IMPORTRANGE(""https://docs.google.com/spreadsheets/d/1SX6NBoVAgQJ6U1MVXOaj8PK2l7WJ3RER9xtqwdhxkhw/edit?usp=sharing"",""ฉะเชิงเทรา!J108"")"),0.0)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IFERROR(__xludf.DUMMYFUNCTION("IMPORTRANGE(""https://docs.google.com/spreadsheets/d/1SX6NBoVAgQJ6U1MVXOaj8PK2l7WJ3RER9xtqwdhxkhw/edit?usp=sharing"",""ฉะเชิงเทรา!J109"")"),0.0)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IFERROR(__xludf.DUMMYFUNCTION("IMPORTRANGE(""https://docs.google.com/spreadsheets/d/1SX6NBoVAgQJ6U1MVXOaj8PK2l7WJ3RER9xtqwdhxkhw/edit?usp=sharing"",""ฉะเชิงเทรา!I110"")"),3.0)</f>
        <v>3</v>
      </c>
      <c r="J185" s="238">
        <f>IFERROR(__xludf.DUMMYFUNCTION("IMPORTRANGE(""https://docs.google.com/spreadsheets/d/1SX6NBoVAgQJ6U1MVXOaj8PK2l7WJ3RER9xtqwdhxkhw/edit?usp=sharing"",""ฉะเชิงเทรา!J110"")"),0.0)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IFERROR(__xludf.DUMMYFUNCTION("IMPORTRANGE(""https://docs.google.com/spreadsheets/d/1SX6NBoVAgQJ6U1MVXOaj8PK2l7WJ3RER9xtqwdhxkhw/edit?usp=sharing"",""ฉะเชิงเทรา!I111"")"),3.0)</f>
        <v>3</v>
      </c>
      <c r="J186" s="238">
        <f>IFERROR(__xludf.DUMMYFUNCTION("IMPORTRANGE(""https://docs.google.com/spreadsheets/d/1SX6NBoVAgQJ6U1MVXOaj8PK2l7WJ3RER9xtqwdhxkhw/edit?usp=sharing"",""ฉะเชิงเทรา!J111"")"),0.0)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IFERROR(__xludf.DUMMYFUNCTION("IMPORTRANGE(""https://docs.google.com/spreadsheets/d/1SX6NBoVAgQJ6U1MVXOaj8PK2l7WJ3RER9xtqwdhxkhw/edit?usp=sharing"",""ฉะเชิงเทรา!J112"")"),0.0)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IFERROR(__xludf.DUMMYFUNCTION("IMPORTRANGE(""https://docs.google.com/spreadsheets/d/1SX6NBoVAgQJ6U1MVXOaj8PK2l7WJ3RER9xtqwdhxkhw/edit?usp=sharing"",""ฉะเชิงเทรา!J113"")"),0.0)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IFERROR(__xludf.DUMMYFUNCTION("IMPORTRANGE(""https://docs.google.com/spreadsheets/d/1SX6NBoVAgQJ6U1MVXOaj8PK2l7WJ3RER9xtqwdhxkhw/edit?usp=sharing"",""ฉะเชิงเทรา!I114"")"),40000.0)</f>
        <v>40000</v>
      </c>
      <c r="J189" s="317">
        <f>IFERROR(__xludf.DUMMYFUNCTION("IMPORTRANGE(""https://docs.google.com/spreadsheets/d/1SX6NBoVAgQJ6U1MVXOaj8PK2l7WJ3RER9xtqwdhxkhw/edit?usp=sharing"",""ฉะเชิงเทรา!J114"")"),0.0)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IFERROR(__xludf.DUMMYFUNCTION("IMPORTRANGE(""https://docs.google.com/spreadsheets/d/1SX6NBoVAgQJ6U1MVXOaj8PK2l7WJ3RER9xtqwdhxkhw/edit?usp=sharing"",""ฉะเชิงเทรา!J119"")"),0.0)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IFERROR(__xludf.DUMMYFUNCTION("IMPORTRANGE(""https://docs.google.com/spreadsheets/d/1SX6NBoVAgQJ6U1MVXOaj8PK2l7WJ3RER9xtqwdhxkhw/edit?usp=sharing"",""ฉะเชิงเทรา!J120"")"),1.0)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IFERROR(__xludf.DUMMYFUNCTION("IMPORTRANGE(""https://docs.google.com/spreadsheets/d/1SX6NBoVAgQJ6U1MVXOaj8PK2l7WJ3RER9xtqwdhxkhw/edit?usp=sharing"",""ฉะเชิงเทรา!J121"")"),1.0)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IFERROR(__xludf.DUMMYFUNCTION("IMPORTRANGE(""https://docs.google.com/spreadsheets/d/1SX6NBoVAgQJ6U1MVXOaj8PK2l7WJ3RER9xtqwdhxkhw/edit?usp=sharing"",""ฉะเชิงเทรา!J122"")"),1.0)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IFERROR(__xludf.DUMMYFUNCTION("IMPORTRANGE(""https://docs.google.com/spreadsheets/d/1SX6NBoVAgQJ6U1MVXOaj8PK2l7WJ3RER9xtqwdhxkhw/edit?usp=sharing"",""ฉะเชิงเทรา!I124"")"),40000.0)</f>
        <v>40000</v>
      </c>
      <c r="J199" s="223">
        <f>IFERROR(__xludf.DUMMYFUNCTION("IMPORTRANGE(""https://docs.google.com/spreadsheets/d/1SX6NBoVAgQJ6U1MVXOaj8PK2l7WJ3RER9xtqwdhxkhw/edit?usp=sharing"",""ฉะเชิงเทรา!J124"")"),0.0)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IFERROR(__xludf.DUMMYFUNCTION("IMPORTRANGE(""https://docs.google.com/spreadsheets/d/1SX6NBoVAgQJ6U1MVXOaj8PK2l7WJ3RER9xtqwdhxkhw/edit?usp=sharing"",""ฉะเชิงเทรา!I125"")"),40000.0)</f>
        <v>40000</v>
      </c>
      <c r="J200" s="223">
        <f>IFERROR(__xludf.DUMMYFUNCTION("IMPORTRANGE(""https://docs.google.com/spreadsheets/d/1SX6NBoVAgQJ6U1MVXOaj8PK2l7WJ3RER9xtqwdhxkhw/edit?usp=sharing"",""ฉะเชิงเทรา!J125"")"),0.0)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IFERROR(__xludf.DUMMYFUNCTION("IMPORTRANGE(""https://docs.google.com/spreadsheets/d/1SX6NBoVAgQJ6U1MVXOaj8PK2l7WJ3RER9xtqwdhxkhw/edit?usp=sharing"",""ฉะเชิงเทรา!I126"")"),15.0)</f>
        <v>15</v>
      </c>
      <c r="J201" s="223">
        <f>IFERROR(__xludf.DUMMYFUNCTION("IMPORTRANGE(""https://docs.google.com/spreadsheets/d/1SX6NBoVAgQJ6U1MVXOaj8PK2l7WJ3RER9xtqwdhxkhw/edit?usp=sharing"",""ฉะเชิงเทรา!J126"")"),15.0)</f>
        <v>15</v>
      </c>
      <c r="K201" s="196">
        <f t="shared" si="71"/>
        <v>100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IFERROR(__xludf.DUMMYFUNCTION("IMPORTRANGE(""https://docs.google.com/spreadsheets/d/1SX6NBoVAgQJ6U1MVXOaj8PK2l7WJ3RER9xtqwdhxkhw/edit?usp=sharing"",""ฉะเชิงเทรา!J127"")"),0.0)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IFERROR(__xludf.DUMMYFUNCTION("IMPORTRANGE(""https://docs.google.com/spreadsheets/d/1SX6NBoVAgQJ6U1MVXOaj8PK2l7WJ3RER9xtqwdhxkhw/edit?usp=sharing"",""ฉะเชิงเทรา!J128"")"),0.0)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IFERROR(__xludf.DUMMYFUNCTION("IMPORTRANGE(""https://docs.google.com/spreadsheets/d/1SX6NBoVAgQJ6U1MVXOaj8PK2l7WJ3RER9xtqwdhxkhw/edit?usp=sharing"",""ฉะเชิงเทรา!I129"")"),80.0)</f>
        <v>80</v>
      </c>
      <c r="J204" s="317">
        <f>IFERROR(__xludf.DUMMYFUNCTION("IMPORTRANGE(""https://docs.google.com/spreadsheets/d/1SX6NBoVAgQJ6U1MVXOaj8PK2l7WJ3RER9xtqwdhxkhw/edit?usp=sharing"",""ฉะเชิงเทรา!J129"")"),80.0)</f>
        <v>80</v>
      </c>
      <c r="K204" s="318">
        <f>IF(I204&gt;0,J204*100/I204,0)</f>
        <v>100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IFERROR(__xludf.DUMMYFUNCTION("IMPORTRANGE(""https://docs.google.com/spreadsheets/d/1SX6NBoVAgQJ6U1MVXOaj8PK2l7WJ3RER9xtqwdhxkhw/edit?usp=sharing"",""ฉะเชิงเทรา!J134"")"),0.0)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IFERROR(__xludf.DUMMYFUNCTION("IMPORTRANGE(""https://docs.google.com/spreadsheets/d/1SX6NBoVAgQJ6U1MVXOaj8PK2l7WJ3RER9xtqwdhxkhw/edit?usp=sharing"",""ฉะเชิงเทรา!J135"")"),1.0)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IFERROR(__xludf.DUMMYFUNCTION("IMPORTRANGE(""https://docs.google.com/spreadsheets/d/1SX6NBoVAgQJ6U1MVXOaj8PK2l7WJ3RER9xtqwdhxkhw/edit?usp=sharing"",""ฉะเชิงเทรา!J136"")"),1.0)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IFERROR(__xludf.DUMMYFUNCTION("IMPORTRANGE(""https://docs.google.com/spreadsheets/d/1SX6NBoVAgQJ6U1MVXOaj8PK2l7WJ3RER9xtqwdhxkhw/edit?usp=sharing"",""ฉะเชิงเทรา!J137"")"),1.0)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IFERROR(__xludf.DUMMYFUNCTION("IMPORTRANGE(""https://docs.google.com/spreadsheets/d/1SX6NBoVAgQJ6U1MVXOaj8PK2l7WJ3RER9xtqwdhxkhw/edit?usp=sharing"",""ฉะเชิงเทรา!I138"")"),80.0)</f>
        <v>80</v>
      </c>
      <c r="J213" s="238">
        <f>IFERROR(__xludf.DUMMYFUNCTION("IMPORTRANGE(""https://docs.google.com/spreadsheets/d/1SX6NBoVAgQJ6U1MVXOaj8PK2l7WJ3RER9xtqwdhxkhw/edit?usp=sharing"",""ฉะเชิงเทรา!J138"")"),80.0)</f>
        <v>80</v>
      </c>
      <c r="K213" s="258">
        <f>IF(I213&gt;0,J213*100/I213,0)</f>
        <v>100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IFERROR(__xludf.DUMMYFUNCTION("IMPORTRANGE(""https://docs.google.com/spreadsheets/d/1SX6NBoVAgQJ6U1MVXOaj8PK2l7WJ3RER9xtqwdhxkhw/edit?usp=sharing"",""ฉะเชิงเทรา!I140"")"),40.0)</f>
        <v>40</v>
      </c>
      <c r="J215" s="238">
        <f>IFERROR(__xludf.DUMMYFUNCTION("IMPORTRANGE(""https://docs.google.com/spreadsheets/d/1SX6NBoVAgQJ6U1MVXOaj8PK2l7WJ3RER9xtqwdhxkhw/edit?usp=sharing"",""ฉะเชิงเทรา!J140"")"),0.0)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IFERROR(__xludf.DUMMYFUNCTION("IMPORTRANGE(""https://docs.google.com/spreadsheets/d/1SX6NBoVAgQJ6U1MVXOaj8PK2l7WJ3RER9xtqwdhxkhw/edit?usp=sharing"",""ฉะเชิงเทรา!I141"")"),1.0)</f>
        <v>1</v>
      </c>
      <c r="J216" s="238">
        <f>IFERROR(__xludf.DUMMYFUNCTION("IMPORTRANGE(""https://docs.google.com/spreadsheets/d/1SX6NBoVAgQJ6U1MVXOaj8PK2l7WJ3RER9xtqwdhxkhw/edit?usp=sharing"",""ฉะเชิงเทรา!J141"")"),0.0)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IFERROR(__xludf.DUMMYFUNCTION("IMPORTRANGE(""https://docs.google.com/spreadsheets/d/1SX6NBoVAgQJ6U1MVXOaj8PK2l7WJ3RER9xtqwdhxkhw/edit?usp=sharing"",""ฉะเชิงเทรา!J142"")"),0.0)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IFERROR(__xludf.DUMMYFUNCTION("IMPORTRANGE(""https://docs.google.com/spreadsheets/d/1SX6NBoVAgQJ6U1MVXOaj8PK2l7WJ3RER9xtqwdhxkhw/edit?usp=sharing"",""ฉะเชิงเทรา!J143"")"),0.0)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IFERROR(__xludf.DUMMYFUNCTION("IMPORTRANGE(""https://docs.google.com/spreadsheets/d/1SX6NBoVAgQJ6U1MVXOaj8PK2l7WJ3RER9xtqwdhxkhw/edit?usp=sharing"",""ฉะเชิงเทรา!I144"")"),15.0)</f>
        <v>15</v>
      </c>
      <c r="J219" s="301">
        <f>IFERROR(__xludf.DUMMYFUNCTION("IMPORTRANGE(""https://docs.google.com/spreadsheets/d/1SX6NBoVAgQJ6U1MVXOaj8PK2l7WJ3RER9xtqwdhxkhw/edit?usp=sharing"",""ฉะเชิงเทรา!J144"")"),15.0)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IFERROR(__xludf.DUMMYFUNCTION("IMPORTRANGE(""https://docs.google.com/spreadsheets/d/1Yj_ptqi66GCucihVvJfMjLAmec39IyEx_6qawtMGysU/edit?usp=sharing"",""สบก!BS61"")"),21125.0)</f>
        <v>21125</v>
      </c>
      <c r="N224" s="202">
        <f>IFERROR(__xludf.DUMMYFUNCTION("IMPORTRANGE(""https://docs.google.com/spreadsheets/d/1Yj_ptqi66GCucihVvJfMjLAmec39IyEx_6qawtMGysU/edit?usp=sharing"",""สบก!BT61"")"),21125.0)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IFERROR(__xludf.DUMMYFUNCTION("IMPORTRANGE(""https://docs.google.com/spreadsheets/d/1Yj_ptqi66GCucihVvJfMjLAmec39IyEx_6qawtMGysU/edit?usp=sharing"",""สบก!BO61"")"),0.0)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IFERROR(__xludf.DUMMYFUNCTION("IMPORTRANGE(""https://docs.google.com/spreadsheets/d/1Yj_ptqi66GCucihVvJfMjLAmec39IyEx_6qawtMGysU/edit?usp=sharing"",""สบก!BP61"")"),21125.0)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IFERROR(__xludf.DUMMYFUNCTION("IMPORTRANGE(""https://docs.google.com/spreadsheets/d/1Yj_ptqi66GCucihVvJfMjLAmec39IyEx_6qawtMGysU/edit?usp=sharing"",""สบก!BQ61"")"),0.0)</f>
        <v>0</v>
      </c>
      <c r="M228" s="125"/>
      <c r="N228" s="115">
        <f>IFERROR(__xludf.DUMMYFUNCTION("IMPORTRANGE(""https://docs.google.com/spreadsheets/d/1Yj_ptqi66GCucihVvJfMjLAmec39IyEx_6qawtMGysU/edit?usp=sharing"",""สบก!BU61"")"),0.0)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IFERROR(__xludf.DUMMYFUNCTION("IMPORTRANGE(""https://docs.google.com/spreadsheets/d/1SX6NBoVAgQJ6U1MVXOaj8PK2l7WJ3RER9xtqwdhxkhw/edit?usp=sharing"",""ฉะเชิงเทรา!I149"")"),15.0)</f>
        <v>15</v>
      </c>
      <c r="J229" s="301">
        <f>IFERROR(__xludf.DUMMYFUNCTION("IMPORTRANGE(""https://docs.google.com/spreadsheets/d/1SX6NBoVAgQJ6U1MVXOaj8PK2l7WJ3RER9xtqwdhxkhw/edit?usp=sharing"",""ฉะเชิงเทรา!J149"")"),15.0)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IFERROR(__xludf.DUMMYFUNCTION("IMPORTRANGE(""https://docs.google.com/spreadsheets/d/1SX6NBoVAgQJ6U1MVXOaj8PK2l7WJ3RER9xtqwdhxkhw/edit?usp=sharing"",""ฉะเชิงเทรา!J151"")"),0.0)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IFERROR(__xludf.DUMMYFUNCTION("IMPORTRANGE(""https://docs.google.com/spreadsheets/d/1SX6NBoVAgQJ6U1MVXOaj8PK2l7WJ3RER9xtqwdhxkhw/edit?usp=sharing"",""ฉะเชิงเทรา!J152"")"),1.0)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IFERROR(__xludf.DUMMYFUNCTION("IMPORTRANGE(""https://docs.google.com/spreadsheets/d/1SX6NBoVAgQJ6U1MVXOaj8PK2l7WJ3RER9xtqwdhxkhw/edit?usp=sharing"",""ฉะเชิงเทรา!J153"")"),1.0)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IFERROR(__xludf.DUMMYFUNCTION("IMPORTRANGE(""https://docs.google.com/spreadsheets/d/1SX6NBoVAgQJ6U1MVXOaj8PK2l7WJ3RER9xtqwdhxkhw/edit?usp=sharing"",""ฉะเชิงเทรา!J154"")"),1.0)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IFERROR(__xludf.DUMMYFUNCTION("IMPORTRANGE(""https://docs.google.com/spreadsheets/d/1SX6NBoVAgQJ6U1MVXOaj8PK2l7WJ3RER9xtqwdhxkhw/edit?usp=sharing"",""ฉะเชิงเทรา!I155"")"),15.0)</f>
        <v>15</v>
      </c>
      <c r="J235" s="223">
        <f>IFERROR(__xludf.DUMMYFUNCTION("IMPORTRANGE(""https://docs.google.com/spreadsheets/d/1SX6NBoVAgQJ6U1MVXOaj8PK2l7WJ3RER9xtqwdhxkhw/edit?usp=sharing"",""ฉะเชิงเทรา!J155"")"),15.0)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IFERROR(__xludf.DUMMYFUNCTION("IMPORTRANGE(""https://docs.google.com/spreadsheets/d/1SX6NBoVAgQJ6U1MVXOaj8PK2l7WJ3RER9xtqwdhxkhw/edit?usp=sharing"",""ฉะเชิงเทรา!J156"")"),0.0)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IFERROR(__xludf.DUMMYFUNCTION("IMPORTRANGE(""https://docs.google.com/spreadsheets/d/1SX6NBoVAgQJ6U1MVXOaj8PK2l7WJ3RER9xtqwdhxkhw/edit?usp=sharing"",""ฉะเชิงเทรา!J157"")"),0.0)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IFERROR(__xludf.DUMMYFUNCTION("IMPORTRANGE(""https://docs.google.com/spreadsheets/d/1SX6NBoVAgQJ6U1MVXOaj8PK2l7WJ3RER9xtqwdhxkhw/edit?usp=sharing"",""ฉะเชิงเทรา!I158"")"),0.0)</f>
        <v>0</v>
      </c>
      <c r="J238" s="301">
        <f>IFERROR(__xludf.DUMMYFUNCTION("IMPORTRANGE(""https://docs.google.com/spreadsheets/d/1SX6NBoVAgQJ6U1MVXOaj8PK2l7WJ3RER9xtqwdhxkhw/edit?usp=sharing"",""ฉะเชิงเทรา!J158"")"),0.0)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IFERROR(__xludf.DUMMYFUNCTION("IMPORTRANGE(""https://docs.google.com/spreadsheets/d/1SX6NBoVAgQJ6U1MVXOaj8PK2l7WJ3RER9xtqwdhxkhw/edit?usp=sharing"",""ฉะเชิงเทรา!J159"")"),"")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IFERROR(__xludf.DUMMYFUNCTION("IMPORTRANGE(""https://docs.google.com/spreadsheets/d/1SX6NBoVAgQJ6U1MVXOaj8PK2l7WJ3RER9xtqwdhxkhw/edit?usp=sharing"",""ฉะเชิงเทรา!J161"")"),0.0)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IFERROR(__xludf.DUMMYFUNCTION("IMPORTRANGE(""https://docs.google.com/spreadsheets/d/1SX6NBoVAgQJ6U1MVXOaj8PK2l7WJ3RER9xtqwdhxkhw/edit?usp=sharing"",""ฉะเชิงเทรา!J162"")"),0.0)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IFERROR(__xludf.DUMMYFUNCTION("IMPORTRANGE(""https://docs.google.com/spreadsheets/d/1SX6NBoVAgQJ6U1MVXOaj8PK2l7WJ3RER9xtqwdhxkhw/edit?usp=sharing"",""ฉะเชิงเทรา!J163"")"),0.0)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IFERROR(__xludf.DUMMYFUNCTION("IMPORTRANGE(""https://docs.google.com/spreadsheets/d/1SX6NBoVAgQJ6U1MVXOaj8PK2l7WJ3RER9xtqwdhxkhw/edit?usp=sharing"",""ฉะเชิงเทรา!I164"")"),0.0)</f>
        <v>0</v>
      </c>
      <c r="J244" s="222">
        <f>IFERROR(__xludf.DUMMYFUNCTION("IMPORTRANGE(""https://docs.google.com/spreadsheets/d/1SX6NBoVAgQJ6U1MVXOaj8PK2l7WJ3RER9xtqwdhxkhw/edit?usp=sharing"",""ฉะเชิงเทรา!J164"")"),0.0)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IFERROR(__xludf.DUMMYFUNCTION("IMPORTRANGE(""https://docs.google.com/spreadsheets/d/1SX6NBoVAgQJ6U1MVXOaj8PK2l7WJ3RER9xtqwdhxkhw/edit?usp=sharing"",""ฉะเชิงเทรา!J165"")"),0.0)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IFERROR(__xludf.DUMMYFUNCTION("IMPORTRANGE(""https://docs.google.com/spreadsheets/d/1SX6NBoVAgQJ6U1MVXOaj8PK2l7WJ3RER9xtqwdhxkhw/edit?usp=sharing"",""ฉะเชิงเทรา!J166"")"),0.0)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IFERROR(__xludf.DUMMYFUNCTION("IMPORTRANGE(""https://docs.google.com/spreadsheets/d/1SX6NBoVAgQJ6U1MVXOaj8PK2l7WJ3RER9xtqwdhxkhw/edit?usp=sharing"",""ฉะเชิงเทรา!I169"")"),20.0)</f>
        <v>20</v>
      </c>
      <c r="J249" s="349">
        <f>IFERROR(__xludf.DUMMYFUNCTION("IMPORTRANGE(""https://docs.google.com/spreadsheets/d/1SX6NBoVAgQJ6U1MVXOaj8PK2l7WJ3RER9xtqwdhxkhw/edit?usp=sharing"",""ฉะเชิงเทรา!J169"")"),0.0)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980</v>
      </c>
      <c r="O250" s="182">
        <f t="shared" ref="O250:O252" si="80">IF(L250&gt;0,N250*100/L250,0)</f>
        <v>1.37254902</v>
      </c>
      <c r="P250" s="182">
        <f t="shared" ref="P250:P252" si="81">IF(M250&gt;0,N250*100/M250,0)</f>
        <v>2.648648649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980</v>
      </c>
      <c r="O252" s="187">
        <f t="shared" si="80"/>
        <v>1.37254902</v>
      </c>
      <c r="P252" s="187">
        <f t="shared" si="81"/>
        <v>2.648648649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1">
        <f>IFERROR(__xludf.DUMMYFUNCTION("IMPORTRANGE(""https://docs.google.com/spreadsheets/d/1Yj_ptqi66GCucihVvJfMjLAmec39IyEx_6qawtMGysU/edit?usp=sharing"",""สบก!CB61"")"),37000.0)</f>
        <v>37000</v>
      </c>
      <c r="N254" s="202">
        <f>IFERROR(__xludf.DUMMYFUNCTION("IMPORTRANGE(""https://docs.google.com/spreadsheets/d/1Yj_ptqi66GCucihVvJfMjLAmec39IyEx_6qawtMGysU/edit?usp=sharing"",""สบก!CC61"")"),980.0)</f>
        <v>980</v>
      </c>
      <c r="O254" s="203">
        <f>IF(L254&gt;0,N254*100/L254,0)</f>
        <v>1.37254902</v>
      </c>
      <c r="P254" s="203">
        <f>IF(M254&gt;0,N254*100/M254,0)</f>
        <v>2.648648649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IFERROR(__xludf.DUMMYFUNCTION("IMPORTRANGE(""https://docs.google.com/spreadsheets/d/1Yj_ptqi66GCucihVvJfMjLAmec39IyEx_6qawtMGysU/edit?usp=sharing"",""สบก!BX61"")"),0.0)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IFERROR(__xludf.DUMMYFUNCTION("IMPORTRANGE(""https://docs.google.com/spreadsheets/d/1Yj_ptqi66GCucihVvJfMjLAmec39IyEx_6qawtMGysU/edit?usp=sharing"",""สบก!BY61"")"),71400.0)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IFERROR(__xludf.DUMMYFUNCTION("IMPORTRANGE(""https://docs.google.com/spreadsheets/d/1Yj_ptqi66GCucihVvJfMjLAmec39IyEx_6qawtMGysU/edit?usp=sharing"",""สบก!BZ61"")"),0.0)</f>
        <v>0</v>
      </c>
      <c r="M258" s="125"/>
      <c r="N258" s="115">
        <f>IFERROR(__xludf.DUMMYFUNCTION("IMPORTRANGE(""https://docs.google.com/spreadsheets/d/1Yj_ptqi66GCucihVvJfMjLAmec39IyEx_6qawtMGysU/edit?usp=sharing"",""สบก!CD61"")"),0.0)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IFERROR(__xludf.DUMMYFUNCTION("IMPORTRANGE(""https://docs.google.com/spreadsheets/d/1SX6NBoVAgQJ6U1MVXOaj8PK2l7WJ3RER9xtqwdhxkhw/edit?usp=sharing"",""ฉะเชิงเทรา!J175"")"),1.0)</f>
        <v>1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IFERROR(__xludf.DUMMYFUNCTION("IMPORTRANGE(""https://docs.google.com/spreadsheets/d/1SX6NBoVAgQJ6U1MVXOaj8PK2l7WJ3RER9xtqwdhxkhw/edit?usp=sharing"",""ฉะเชิงเทรา!J176"")"),0.0)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IFERROR(__xludf.DUMMYFUNCTION("IMPORTRANGE(""https://docs.google.com/spreadsheets/d/1SX6NBoVAgQJ6U1MVXOaj8PK2l7WJ3RER9xtqwdhxkhw/edit?usp=sharing"",""ฉะเชิงเทรา!J177"")"),0.0)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IFERROR(__xludf.DUMMYFUNCTION("IMPORTRANGE(""https://docs.google.com/spreadsheets/d/1SX6NBoVAgQJ6U1MVXOaj8PK2l7WJ3RER9xtqwdhxkhw/edit?usp=sharing"",""ฉะเชิงเทรา!J178"")"),0.0)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IFERROR(__xludf.DUMMYFUNCTION("IMPORTRANGE(""https://docs.google.com/spreadsheets/d/1SX6NBoVAgQJ6U1MVXOaj8PK2l7WJ3RER9xtqwdhxkhw/edit?usp=sharing"",""ฉะเชิงเทรา!I179"")"),1.0)</f>
        <v>1</v>
      </c>
      <c r="J264" s="223">
        <f>IFERROR(__xludf.DUMMYFUNCTION("IMPORTRANGE(""https://docs.google.com/spreadsheets/d/1SX6NBoVAgQJ6U1MVXOaj8PK2l7WJ3RER9xtqwdhxkhw/edit?usp=sharing"",""ฉะเชิงเทรา!J179"")"),0.0)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IFERROR(__xludf.DUMMYFUNCTION("IMPORTRANGE(""https://docs.google.com/spreadsheets/d/1SX6NBoVAgQJ6U1MVXOaj8PK2l7WJ3RER9xtqwdhxkhw/edit?usp=sharing"",""ฉะเชิงเทรา!I180"")"),20.0)</f>
        <v>20</v>
      </c>
      <c r="J265" s="223">
        <f>IFERROR(__xludf.DUMMYFUNCTION("IMPORTRANGE(""https://docs.google.com/spreadsheets/d/1SX6NBoVAgQJ6U1MVXOaj8PK2l7WJ3RER9xtqwdhxkhw/edit?usp=sharing"",""ฉะเชิงเทรา!J180"")"),0.0)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IFERROR(__xludf.DUMMYFUNCTION("IMPORTRANGE(""https://docs.google.com/spreadsheets/d/1SX6NBoVAgQJ6U1MVXOaj8PK2l7WJ3RER9xtqwdhxkhw/edit?usp=sharing"",""ฉะเชิงเทรา!I181"")"),20.0)</f>
        <v>20</v>
      </c>
      <c r="J266" s="223">
        <f>IFERROR(__xludf.DUMMYFUNCTION("IMPORTRANGE(""https://docs.google.com/spreadsheets/d/1SX6NBoVAgQJ6U1MVXOaj8PK2l7WJ3RER9xtqwdhxkhw/edit?usp=sharing"",""ฉะเชิงเทรา!J181"")"),0.0)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IFERROR(__xludf.DUMMYFUNCTION("IMPORTRANGE(""https://docs.google.com/spreadsheets/d/1SX6NBoVAgQJ6U1MVXOaj8PK2l7WJ3RER9xtqwdhxkhw/edit?usp=sharing"",""ฉะเชิงเทรา!I182"")"),1.0)</f>
        <v>1</v>
      </c>
      <c r="J267" s="223">
        <f>IFERROR(__xludf.DUMMYFUNCTION("IMPORTRANGE(""https://docs.google.com/spreadsheets/d/1SX6NBoVAgQJ6U1MVXOaj8PK2l7WJ3RER9xtqwdhxkhw/edit?usp=sharing"",""ฉะเชิงเทรา!J182"")"),0.0)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IFERROR(__xludf.DUMMYFUNCTION("IMPORTRANGE(""https://docs.google.com/spreadsheets/d/1SX6NBoVAgQJ6U1MVXOaj8PK2l7WJ3RER9xtqwdhxkhw/edit?usp=sharing"",""ฉะเชิงเทรา!J183"")"),0.0)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IFERROR(__xludf.DUMMYFUNCTION("IMPORTRANGE(""https://docs.google.com/spreadsheets/d/1SX6NBoVAgQJ6U1MVXOaj8PK2l7WJ3RER9xtqwdhxkhw/edit?usp=sharing"",""ฉะเชิงเทรา!J184"")"),0.0)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IFERROR(__xludf.DUMMYFUNCTION("IMPORTRANGE(""https://docs.google.com/spreadsheets/d/1SX6NBoVAgQJ6U1MVXOaj8PK2l7WJ3RER9xtqwdhxkhw/edit?usp=sharing"",""ฉะเชิงเทรา!I185"")"),20.0)</f>
        <v>20</v>
      </c>
      <c r="J270" s="349">
        <f>IFERROR(__xludf.DUMMYFUNCTION("IMPORTRANGE(""https://docs.google.com/spreadsheets/d/1SX6NBoVAgQJ6U1MVXOaj8PK2l7WJ3RER9xtqwdhxkhw/edit?usp=sharing"",""ฉะเชิงเทรา!J185"")"),20.0)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88000</v>
      </c>
      <c r="N271" s="183">
        <f t="shared" si="84"/>
        <v>51776</v>
      </c>
      <c r="O271" s="182">
        <f t="shared" ref="O271:O273" si="86">IF(L271&gt;0,N271*100/L271,0)</f>
        <v>28.20043573</v>
      </c>
      <c r="P271" s="182">
        <f t="shared" ref="P271:P273" si="87">IF(M271&gt;0,N271*100/M271,0)</f>
        <v>58.83636364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88000</v>
      </c>
      <c r="N273" s="188">
        <f t="shared" si="88"/>
        <v>51776</v>
      </c>
      <c r="O273" s="187">
        <f t="shared" si="86"/>
        <v>28.20043573</v>
      </c>
      <c r="P273" s="187">
        <f t="shared" si="87"/>
        <v>58.83636364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IFERROR(__xludf.DUMMYFUNCTION("IMPORTRANGE(""https://docs.google.com/spreadsheets/d/1Yj_ptqi66GCucihVvJfMjLAmec39IyEx_6qawtMGysU/edit?usp=sharing"",""สบก!CK61"")"),88000.0)</f>
        <v>88000</v>
      </c>
      <c r="N275" s="202">
        <f>IFERROR(__xludf.DUMMYFUNCTION("IMPORTRANGE(""https://docs.google.com/spreadsheets/d/1Yj_ptqi66GCucihVvJfMjLAmec39IyEx_6qawtMGysU/edit?usp=sharing"",""สบก!CL61"")"),51776.0)</f>
        <v>51776</v>
      </c>
      <c r="O275" s="203">
        <f>IF(L275&gt;0,N275*100/L275,0)</f>
        <v>28.20043573</v>
      </c>
      <c r="P275" s="203">
        <f>IF(M275&gt;0,N275*100/M275,0)</f>
        <v>58.83636364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IFERROR(__xludf.DUMMYFUNCTION("IMPORTRANGE(""https://docs.google.com/spreadsheets/d/1Yj_ptqi66GCucihVvJfMjLAmec39IyEx_6qawtMGysU/edit?usp=sharing"",""สบก!CG61"")"),0.0)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IFERROR(__xludf.DUMMYFUNCTION("IMPORTRANGE(""https://docs.google.com/spreadsheets/d/1Yj_ptqi66GCucihVvJfMjLAmec39IyEx_6qawtMGysU/edit?usp=sharing"",""สบก!CH61"")"),183600.0)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IFERROR(__xludf.DUMMYFUNCTION("IMPORTRANGE(""https://docs.google.com/spreadsheets/d/1Yj_ptqi66GCucihVvJfMjLAmec39IyEx_6qawtMGysU/edit?usp=sharing"",""สบก!CI61"")"),0.0)</f>
        <v>0</v>
      </c>
      <c r="M279" s="125"/>
      <c r="N279" s="115">
        <f>IFERROR(__xludf.DUMMYFUNCTION("IMPORTRANGE(""https://docs.google.com/spreadsheets/d/1Yj_ptqi66GCucihVvJfMjLAmec39IyEx_6qawtMGysU/edit?usp=sharing"",""สบก!CM61"")"),0.0)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IFERROR(__xludf.DUMMYFUNCTION("IMPORTRANGE(""https://docs.google.com/spreadsheets/d/1SX6NBoVAgQJ6U1MVXOaj8PK2l7WJ3RER9xtqwdhxkhw/edit?usp=sharing"",""ฉะเชิงเทรา!J191"")"),0.0)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IFERROR(__xludf.DUMMYFUNCTION("IMPORTRANGE(""https://docs.google.com/spreadsheets/d/1SX6NBoVAgQJ6U1MVXOaj8PK2l7WJ3RER9xtqwdhxkhw/edit?usp=sharing"",""ฉะเชิงเทรา!J192"")"),1.0)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IFERROR(__xludf.DUMMYFUNCTION("IMPORTRANGE(""https://docs.google.com/spreadsheets/d/1SX6NBoVAgQJ6U1MVXOaj8PK2l7WJ3RER9xtqwdhxkhw/edit?usp=sharing"",""ฉะเชิงเทรา!J193"")"),1.0)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IFERROR(__xludf.DUMMYFUNCTION("IMPORTRANGE(""https://docs.google.com/spreadsheets/d/1SX6NBoVAgQJ6U1MVXOaj8PK2l7WJ3RER9xtqwdhxkhw/edit?usp=sharing"",""ฉะเชิงเทรา!J194"")"),1.0)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IFERROR(__xludf.DUMMYFUNCTION("IMPORTRANGE(""https://docs.google.com/spreadsheets/d/1SX6NBoVAgQJ6U1MVXOaj8PK2l7WJ3RER9xtqwdhxkhw/edit?usp=sharing"",""ฉะเชิงเทรา!I195"")"),20.0)</f>
        <v>20</v>
      </c>
      <c r="J285" s="223">
        <f>IFERROR(__xludf.DUMMYFUNCTION("IMPORTRANGE(""https://docs.google.com/spreadsheets/d/1SX6NBoVAgQJ6U1MVXOaj8PK2l7WJ3RER9xtqwdhxkhw/edit?usp=sharing"",""ฉะเชิงเทรา!J195"")"),20.0)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IFERROR(__xludf.DUMMYFUNCTION("IMPORTRANGE(""https://docs.google.com/spreadsheets/d/1SX6NBoVAgQJ6U1MVXOaj8PK2l7WJ3RER9xtqwdhxkhw/edit?usp=sharing"",""ฉะเชิงเทรา!J196"")"),0.0)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IFERROR(__xludf.DUMMYFUNCTION("IMPORTRANGE(""https://docs.google.com/spreadsheets/d/1SX6NBoVAgQJ6U1MVXOaj8PK2l7WJ3RER9xtqwdhxkhw/edit?usp=sharing"",""ฉะเชิงเทรา!J197"")"),0.0)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IFERROR(__xludf.DUMMYFUNCTION("IMPORTRANGE(""https://docs.google.com/spreadsheets/d/1SX6NBoVAgQJ6U1MVXOaj8PK2l7WJ3RER9xtqwdhxkhw/edit?usp=sharing"",""ฉะเชิงเทรา!I199"")"),0.0)</f>
        <v>0</v>
      </c>
      <c r="J289" s="349">
        <f>IFERROR(__xludf.DUMMYFUNCTION("IMPORTRANGE(""https://docs.google.com/spreadsheets/d/1SX6NBoVAgQJ6U1MVXOaj8PK2l7WJ3RER9xtqwdhxkhw/edit?usp=sharing"",""ฉะเชิงเทรา!J199"")"),0.0)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IFERROR(__xludf.DUMMYFUNCTION("IMPORTRANGE(""https://docs.google.com/spreadsheets/d/1Yj_ptqi66GCucihVvJfMjLAmec39IyEx_6qawtMGysU/edit?usp=sharing"",""สบก!CT61"")"),0.0)</f>
        <v>0</v>
      </c>
      <c r="N294" s="202">
        <f>IFERROR(__xludf.DUMMYFUNCTION("IMPORTRANGE(""https://docs.google.com/spreadsheets/d/1Yj_ptqi66GCucihVvJfMjLAmec39IyEx_6qawtMGysU/edit?usp=sharing"",""สบก!CU61"")"),0.0)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IFERROR(__xludf.DUMMYFUNCTION("IMPORTRANGE(""https://docs.google.com/spreadsheets/d/1Yj_ptqi66GCucihVvJfMjLAmec39IyEx_6qawtMGysU/edit?usp=sharing"",""สบก!CP61"")"),0.0)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IFERROR(__xludf.DUMMYFUNCTION("IMPORTRANGE(""https://docs.google.com/spreadsheets/d/1Yj_ptqi66GCucihVvJfMjLAmec39IyEx_6qawtMGysU/edit?usp=sharing"",""สบก!CQ61"")"),0.0)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IFERROR(__xludf.DUMMYFUNCTION("IMPORTRANGE(""https://docs.google.com/spreadsheets/d/1Yj_ptqi66GCucihVvJfMjLAmec39IyEx_6qawtMGysU/edit?usp=sharing"",""สบก!CR61"")"),0.0)</f>
        <v>0</v>
      </c>
      <c r="M298" s="125"/>
      <c r="N298" s="115">
        <f>IFERROR(__xludf.DUMMYFUNCTION("IMPORTRANGE(""https://docs.google.com/spreadsheets/d/1Yj_ptqi66GCucihVvJfMjLAmec39IyEx_6qawtMGysU/edit?usp=sharing"",""สบก!CV61"")"),0.0)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IFERROR(__xludf.DUMMYFUNCTION("IMPORTRANGE(""https://docs.google.com/spreadsheets/d/1SX6NBoVAgQJ6U1MVXOaj8PK2l7WJ3RER9xtqwdhxkhw/edit?usp=sharing"",""ฉะเชิงเทรา!J205"")"),0.0)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IFERROR(__xludf.DUMMYFUNCTION("IMPORTRANGE(""https://docs.google.com/spreadsheets/d/1SX6NBoVAgQJ6U1MVXOaj8PK2l7WJ3RER9xtqwdhxkhw/edit?usp=sharing"",""ฉะเชิงเทรา!J206"")"),0.0)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IFERROR(__xludf.DUMMYFUNCTION("IMPORTRANGE(""https://docs.google.com/spreadsheets/d/1SX6NBoVAgQJ6U1MVXOaj8PK2l7WJ3RER9xtqwdhxkhw/edit?usp=sharing"",""ฉะเชิงเทรา!J207"")"),0.0)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IFERROR(__xludf.DUMMYFUNCTION("IMPORTRANGE(""https://docs.google.com/spreadsheets/d/1SX6NBoVAgQJ6U1MVXOaj8PK2l7WJ3RER9xtqwdhxkhw/edit?usp=sharing"",""ฉะเชิงเทรา!J208"")"),0.0)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IFERROR(__xludf.DUMMYFUNCTION("IMPORTRANGE(""https://docs.google.com/spreadsheets/d/1SX6NBoVAgQJ6U1MVXOaj8PK2l7WJ3RER9xtqwdhxkhw/edit?usp=sharing"",""ฉะเชิงเทรา!I209"")"),0.0)</f>
        <v>0</v>
      </c>
      <c r="J304" s="238">
        <f>IFERROR(__xludf.DUMMYFUNCTION("IMPORTRANGE(""https://docs.google.com/spreadsheets/d/1SX6NBoVAgQJ6U1MVXOaj8PK2l7WJ3RER9xtqwdhxkhw/edit?usp=sharing"",""ฉะเชิงเทรา!J209"")"),0.0)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IFERROR(__xludf.DUMMYFUNCTION("IMPORTRANGE(""https://docs.google.com/spreadsheets/d/1SX6NBoVAgQJ6U1MVXOaj8PK2l7WJ3RER9xtqwdhxkhw/edit?usp=sharing"",""ฉะเชิงเทรา!I211"")"),0.0)</f>
        <v>0</v>
      </c>
      <c r="J306" s="238">
        <f>IFERROR(__xludf.DUMMYFUNCTION("IMPORTRANGE(""https://docs.google.com/spreadsheets/d/1SX6NBoVAgQJ6U1MVXOaj8PK2l7WJ3RER9xtqwdhxkhw/edit?usp=sharing"",""ฉะเชิงเทรา!J211"")"),0.0)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IFERROR(__xludf.DUMMYFUNCTION("IMPORTRANGE(""https://docs.google.com/spreadsheets/d/1SX6NBoVAgQJ6U1MVXOaj8PK2l7WJ3RER9xtqwdhxkhw/edit?usp=sharing"",""ฉะเชิงเทรา!J212"")"),0.0)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IFERROR(__xludf.DUMMYFUNCTION("IMPORTRANGE(""https://docs.google.com/spreadsheets/d/1SX6NBoVAgQJ6U1MVXOaj8PK2l7WJ3RER9xtqwdhxkhw/edit?usp=sharing"",""ฉะเชิงเทรา!J213"")"),0.0)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IFERROR(__xludf.DUMMYFUNCTION("IMPORTRANGE(""https://docs.google.com/spreadsheets/d/1SX6NBoVAgQJ6U1MVXOaj8PK2l7WJ3RER9xtqwdhxkhw/edit?usp=sharing"",""ฉะเชิงเทรา!I214"")"),0.0)</f>
        <v>0</v>
      </c>
      <c r="J309" s="366">
        <f>IFERROR(__xludf.DUMMYFUNCTION("IMPORTRANGE(""https://docs.google.com/spreadsheets/d/1SX6NBoVAgQJ6U1MVXOaj8PK2l7WJ3RER9xtqwdhxkhw/edit?usp=sharing"",""ฉะเชิงเทรา!J214"")"),0.0)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IFERROR(__xludf.DUMMYFUNCTION("IMPORTRANGE(""https://docs.google.com/spreadsheets/d/1Yj_ptqi66GCucihVvJfMjLAmec39IyEx_6qawtMGysU/edit?usp=sharing"",""สบก!DC61"")"),0.0)</f>
        <v>0</v>
      </c>
      <c r="N314" s="202">
        <f>IFERROR(__xludf.DUMMYFUNCTION("IMPORTRANGE(""https://docs.google.com/spreadsheets/d/1Yj_ptqi66GCucihVvJfMjLAmec39IyEx_6qawtMGysU/edit?usp=sharing"",""สบก!DD61"")"),0.0)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IFERROR(__xludf.DUMMYFUNCTION("IMPORTRANGE(""https://docs.google.com/spreadsheets/d/1Yj_ptqi66GCucihVvJfMjLAmec39IyEx_6qawtMGysU/edit?usp=sharing"",""สบก!CY61"")"),0.0)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IFERROR(__xludf.DUMMYFUNCTION("IMPORTRANGE(""https://docs.google.com/spreadsheets/d/1Yj_ptqi66GCucihVvJfMjLAmec39IyEx_6qawtMGysU/edit?usp=sharing"",""สบก!CZ61"")"),0.0)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IFERROR(__xludf.DUMMYFUNCTION("IMPORTRANGE(""https://docs.google.com/spreadsheets/d/1Yj_ptqi66GCucihVvJfMjLAmec39IyEx_6qawtMGysU/edit?usp=sharing"",""สบก!DA61"")"),0.0)</f>
        <v>0</v>
      </c>
      <c r="M318" s="125"/>
      <c r="N318" s="115">
        <f>IFERROR(__xludf.DUMMYFUNCTION("IMPORTRANGE(""https://docs.google.com/spreadsheets/d/1Yj_ptqi66GCucihVvJfMjLAmec39IyEx_6qawtMGysU/edit?usp=sharing"",""สบก!DE61"")"),0.0)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IFERROR(__xludf.DUMMYFUNCTION("IMPORTRANGE(""https://docs.google.com/spreadsheets/d/1SX6NBoVAgQJ6U1MVXOaj8PK2l7WJ3RER9xtqwdhxkhw/edit?usp=sharing"",""ฉะเชิงเทรา!J220"")"),0.0)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IFERROR(__xludf.DUMMYFUNCTION("IMPORTRANGE(""https://docs.google.com/spreadsheets/d/1SX6NBoVAgQJ6U1MVXOaj8PK2l7WJ3RER9xtqwdhxkhw/edit?usp=sharing"",""ฉะเชิงเทรา!J221"")"),0.0)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IFERROR(__xludf.DUMMYFUNCTION("IMPORTRANGE(""https://docs.google.com/spreadsheets/d/1SX6NBoVAgQJ6U1MVXOaj8PK2l7WJ3RER9xtqwdhxkhw/edit?usp=sharing"",""ฉะเชิงเทรา!J222"")"),0.0)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IFERROR(__xludf.DUMMYFUNCTION("IMPORTRANGE(""https://docs.google.com/spreadsheets/d/1SX6NBoVAgQJ6U1MVXOaj8PK2l7WJ3RER9xtqwdhxkhw/edit?usp=sharing"",""ฉะเชิงเทรา!J223"")"),0.0)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IFERROR(__xludf.DUMMYFUNCTION("IMPORTRANGE(""https://docs.google.com/spreadsheets/d/1SX6NBoVAgQJ6U1MVXOaj8PK2l7WJ3RER9xtqwdhxkhw/edit?usp=sharing"",""ฉะเชิงเทรา!I224"")"),0.0)</f>
        <v>0</v>
      </c>
      <c r="J324" s="238">
        <f>IFERROR(__xludf.DUMMYFUNCTION("IMPORTRANGE(""https://docs.google.com/spreadsheets/d/1SX6NBoVAgQJ6U1MVXOaj8PK2l7WJ3RER9xtqwdhxkhw/edit?usp=sharing"",""ฉะเชิงเทรา!J224"")"),0.0)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IFERROR(__xludf.DUMMYFUNCTION("IMPORTRANGE(""https://docs.google.com/spreadsheets/d/1SX6NBoVAgQJ6U1MVXOaj8PK2l7WJ3RER9xtqwdhxkhw/edit?usp=sharing"",""ฉะเชิงเทรา!J225"")"),0.0)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IFERROR(__xludf.DUMMYFUNCTION("IMPORTRANGE(""https://docs.google.com/spreadsheets/d/1SX6NBoVAgQJ6U1MVXOaj8PK2l7WJ3RER9xtqwdhxkhw/edit?usp=sharing"",""ฉะเชิงเทรา!J226"")"),0.0)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IFERROR(__xludf.DUMMYFUNCTION("IMPORTRANGE(""https://docs.google.com/spreadsheets/d/1SX6NBoVAgQJ6U1MVXOaj8PK2l7WJ3RER9xtqwdhxkhw/edit?usp=sharing"",""ฉะเชิงเทรา!I228"")"),210.0)</f>
        <v>210</v>
      </c>
      <c r="J328" s="372">
        <f>IFERROR(__xludf.DUMMYFUNCTION("IMPORTRANGE(""https://docs.google.com/spreadsheets/d/1SX6NBoVAgQJ6U1MVXOaj8PK2l7WJ3RER9xtqwdhxkhw/edit?usp=sharing"",""ฉะเชิงเทรา!J228"")"),42.0)</f>
        <v>42</v>
      </c>
      <c r="K328" s="350">
        <f>IF(I328&gt;0,J328*100/I328,0)</f>
        <v>20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985070</v>
      </c>
      <c r="M329" s="183">
        <f t="shared" si="99"/>
        <v>532480</v>
      </c>
      <c r="N329" s="183">
        <f t="shared" si="99"/>
        <v>407267</v>
      </c>
      <c r="O329" s="182">
        <f t="shared" ref="O329:O331" si="101">IF(L329&gt;0,N329*100/L329,0)</f>
        <v>41.3439654</v>
      </c>
      <c r="P329" s="182">
        <f t="shared" ref="P329:P331" si="102">IF(M329&gt;0,N329*100/M329,0)</f>
        <v>76.4849384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985070</v>
      </c>
      <c r="M331" s="188">
        <f t="shared" si="103"/>
        <v>532480</v>
      </c>
      <c r="N331" s="188">
        <f t="shared" si="103"/>
        <v>407267</v>
      </c>
      <c r="O331" s="187">
        <f t="shared" si="101"/>
        <v>41.3439654</v>
      </c>
      <c r="P331" s="187">
        <f t="shared" si="102"/>
        <v>76.4849384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968070</v>
      </c>
      <c r="M333" s="201">
        <f>IFERROR(__xludf.DUMMYFUNCTION("IMPORTRANGE(""https://docs.google.com/spreadsheets/d/1Yj_ptqi66GCucihVvJfMjLAmec39IyEx_6qawtMGysU/edit?usp=sharing"",""สบก!DL61"")"),532480.0)</f>
        <v>532480</v>
      </c>
      <c r="N333" s="202">
        <f>IFERROR(__xludf.DUMMYFUNCTION("IMPORTRANGE(""https://docs.google.com/spreadsheets/d/1Yj_ptqi66GCucihVvJfMjLAmec39IyEx_6qawtMGysU/edit?usp=sharing"",""สบก!DM61"")"),390267.0)</f>
        <v>390267</v>
      </c>
      <c r="O333" s="203">
        <f>IF(L333&gt;0,N333*100/L333,0)</f>
        <v>40.31392358</v>
      </c>
      <c r="P333" s="203">
        <f>IF(M333&gt;0,N333*100/M333,0)</f>
        <v>73.29233023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IFERROR(__xludf.DUMMYFUNCTION("IMPORTRANGE(""https://docs.google.com/spreadsheets/d/1Yj_ptqi66GCucihVvJfMjLAmec39IyEx_6qawtMGysU/edit?usp=sharing"",""สบก!DH61"")"),529200.0)</f>
        <v>529200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IFERROR(__xludf.DUMMYFUNCTION("IMPORTRANGE(""https://docs.google.com/spreadsheets/d/1Yj_ptqi66GCucihVvJfMjLAmec39IyEx_6qawtMGysU/edit?usp=sharing"",""สบก!DI61"")"),438870.0)</f>
        <v>438870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IFERROR(__xludf.DUMMYFUNCTION("IMPORTRANGE(""https://docs.google.com/spreadsheets/d/1Yj_ptqi66GCucihVvJfMjLAmec39IyEx_6qawtMGysU/edit?usp=sharing"",""สบก!DJ61"")"),17000.0)</f>
        <v>17000</v>
      </c>
      <c r="M337" s="125"/>
      <c r="N337" s="115">
        <f>IFERROR(__xludf.DUMMYFUNCTION("IMPORTRANGE(""https://docs.google.com/spreadsheets/d/1Yj_ptqi66GCucihVvJfMjLAmec39IyEx_6qawtMGysU/edit?usp=sharing"",""สบก!DN61"")"),17000.0)</f>
        <v>17000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IFERROR(__xludf.DUMMYFUNCTION("IMPORTRANGE(""https://docs.google.com/spreadsheets/d/1SX6NBoVAgQJ6U1MVXOaj8PK2l7WJ3RER9xtqwdhxkhw/edit?usp=sharing"",""ฉะเชิงเทรา!I234"")"),0.0)</f>
        <v>0</v>
      </c>
      <c r="J339" s="222">
        <f>IFERROR(__xludf.DUMMYFUNCTION("IMPORTRANGE(""https://docs.google.com/spreadsheets/d/1SX6NBoVAgQJ6U1MVXOaj8PK2l7WJ3RER9xtqwdhxkhw/edit?usp=sharing"",""ฉะเชิงเทรา!J234"")"),163.0)</f>
        <v>163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IFERROR(__xludf.DUMMYFUNCTION("IMPORTRANGE(""https://docs.google.com/spreadsheets/d/1SX6NBoVAgQJ6U1MVXOaj8PK2l7WJ3RER9xtqwdhxkhw/edit?usp=sharing"",""ฉะเชิงเทรา!I235"")"),3160.0)</f>
        <v>3160</v>
      </c>
      <c r="J340" s="222">
        <f>IFERROR(__xludf.DUMMYFUNCTION("IMPORTRANGE(""https://docs.google.com/spreadsheets/d/1SX6NBoVAgQJ6U1MVXOaj8PK2l7WJ3RER9xtqwdhxkhw/edit?usp=sharing"",""ฉะเชิงเทรา!J235"")"),1728.14)</f>
        <v>1728.14</v>
      </c>
      <c r="K340" s="375">
        <f t="shared" si="104"/>
        <v>54.68797468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IFERROR(__xludf.DUMMYFUNCTION("IMPORTRANGE(""https://docs.google.com/spreadsheets/d/1SX6NBoVAgQJ6U1MVXOaj8PK2l7WJ3RER9xtqwdhxkhw/edit?usp=sharing"",""ฉะเชิงเทรา!I236"")"),210.0)</f>
        <v>210</v>
      </c>
      <c r="J341" s="222">
        <f>IFERROR(__xludf.DUMMYFUNCTION("IMPORTRANGE(""https://docs.google.com/spreadsheets/d/1SX6NBoVAgQJ6U1MVXOaj8PK2l7WJ3RER9xtqwdhxkhw/edit?usp=sharing"",""ฉะเชิงเทรา!J236"")"),103.0)</f>
        <v>103</v>
      </c>
      <c r="K341" s="375">
        <f t="shared" si="104"/>
        <v>49.04761905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IFERROR(__xludf.DUMMYFUNCTION("IMPORTRANGE(""https://docs.google.com/spreadsheets/d/1SX6NBoVAgQJ6U1MVXOaj8PK2l7WJ3RER9xtqwdhxkhw/edit?usp=sharing"",""ฉะเชิงเทรา!I237"")"),0.0)</f>
        <v>0</v>
      </c>
      <c r="J342" s="222">
        <f>IFERROR(__xludf.DUMMYFUNCTION("IMPORTRANGE(""https://docs.google.com/spreadsheets/d/1SX6NBoVAgQJ6U1MVXOaj8PK2l7WJ3RER9xtqwdhxkhw/edit?usp=sharing"",""ฉะเชิงเทรา!J237"")"),1319.13)</f>
        <v>1319.13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IFERROR(__xludf.DUMMYFUNCTION("IMPORTRANGE(""https://docs.google.com/spreadsheets/d/1SX6NBoVAgQJ6U1MVXOaj8PK2l7WJ3RER9xtqwdhxkhw/edit?usp=sharing"",""ฉะเชิงเทรา!I238"")"),210.0)</f>
        <v>210</v>
      </c>
      <c r="J343" s="222">
        <f>IFERROR(__xludf.DUMMYFUNCTION("IMPORTRANGE(""https://docs.google.com/spreadsheets/d/1SX6NBoVAgQJ6U1MVXOaj8PK2l7WJ3RER9xtqwdhxkhw/edit?usp=sharing"",""ฉะเชิงเทรา!J238"")"),0.0)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IFERROR(__xludf.DUMMYFUNCTION("IMPORTRANGE(""https://docs.google.com/spreadsheets/d/1SX6NBoVAgQJ6U1MVXOaj8PK2l7WJ3RER9xtqwdhxkhw/edit?usp=sharing"",""ฉะเชิงเทรา!I239"")"),0.0)</f>
        <v>0</v>
      </c>
      <c r="J344" s="222">
        <f>IFERROR(__xludf.DUMMYFUNCTION("IMPORTRANGE(""https://docs.google.com/spreadsheets/d/1SX6NBoVAgQJ6U1MVXOaj8PK2l7WJ3RER9xtqwdhxkhw/edit?usp=sharing"",""ฉะเชิงเทรา!J239"")"),0.0)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IFERROR(__xludf.DUMMYFUNCTION("IMPORTRANGE(""https://docs.google.com/spreadsheets/d/1SX6NBoVAgQJ6U1MVXOaj8PK2l7WJ3RER9xtqwdhxkhw/edit?usp=sharing"",""ฉะเชิงเทรา!I240"")"),210.0)</f>
        <v>210</v>
      </c>
      <c r="J345" s="222">
        <f>IFERROR(__xludf.DUMMYFUNCTION("IMPORTRANGE(""https://docs.google.com/spreadsheets/d/1SX6NBoVAgQJ6U1MVXOaj8PK2l7WJ3RER9xtqwdhxkhw/edit?usp=sharing"",""ฉะเชิงเทรา!J240"")"),42.0)</f>
        <v>42</v>
      </c>
      <c r="K345" s="375">
        <f t="shared" si="104"/>
        <v>20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IFERROR(__xludf.DUMMYFUNCTION("IMPORTRANGE(""https://docs.google.com/spreadsheets/d/1SX6NBoVAgQJ6U1MVXOaj8PK2l7WJ3RER9xtqwdhxkhw/edit?usp=sharing"",""ฉะเชิงเทรา!I241"")"),0.0)</f>
        <v>0</v>
      </c>
      <c r="J346" s="222">
        <f>IFERROR(__xludf.DUMMYFUNCTION("IMPORTRANGE(""https://docs.google.com/spreadsheets/d/1SX6NBoVAgQJ6U1MVXOaj8PK2l7WJ3RER9xtqwdhxkhw/edit?usp=sharing"",""ฉะเชิงเทรา!J241"")"),518.09)</f>
        <v>518.09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IFERROR(__xludf.DUMMYFUNCTION("IMPORTRANGE(""https://docs.google.com/spreadsheets/d/1SX6NBoVAgQJ6U1MVXOaj8PK2l7WJ3RER9xtqwdhxkhw/edit?usp=sharing"",""ฉะเชิงเทรา!L242"")"),2677919.0)</f>
        <v>2677919</v>
      </c>
      <c r="M347" s="391"/>
      <c r="N347" s="391">
        <f>IFERROR(__xludf.DUMMYFUNCTION("IMPORTRANGE(""https://docs.google.com/spreadsheets/d/1SX6NBoVAgQJ6U1MVXOaj8PK2l7WJ3RER9xtqwdhxkhw/edit?usp=sharing"",""ฉะเชิงเทรา!M242"")"),260966.0)</f>
        <v>260966</v>
      </c>
      <c r="O347" s="391">
        <f>+IF(L347&gt;0,N347*100/L347,0)</f>
        <v>9.745104314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IFERROR(__xludf.DUMMYFUNCTION("IMPORTRANGE(""https://docs.google.com/spreadsheets/d/1SX6NBoVAgQJ6U1MVXOaj8PK2l7WJ3RER9xtqwdhxkhw/edit?usp=sharing"",""ฉะเชิงเทรา!I244"")"),64.0)</f>
        <v>64</v>
      </c>
      <c r="J349" s="404">
        <f>IFERROR(__xludf.DUMMYFUNCTION("IMPORTRANGE(""https://docs.google.com/spreadsheets/d/1SX6NBoVAgQJ6U1MVXOaj8PK2l7WJ3RER9xtqwdhxkhw/edit?usp=sharing"",""ฉะเชิงเทรา!J244"")"),0.0)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IFERROR(__xludf.DUMMYFUNCTION("IMPORTRANGE(""https://docs.google.com/spreadsheets/d/1SX6NBoVAgQJ6U1MVXOaj8PK2l7WJ3RER9xtqwdhxkhw/edit?usp=sharing"",""ฉะเชิงเทรา!L244"")"),324540.0)</f>
        <v>324540</v>
      </c>
      <c r="M349" s="406"/>
      <c r="N349" s="406">
        <f>IFERROR(__xludf.DUMMYFUNCTION("IMPORTRANGE(""https://docs.google.com/spreadsheets/d/1SX6NBoVAgQJ6U1MVXOaj8PK2l7WJ3RER9xtqwdhxkhw/edit?usp=sharing"",""ฉะเชิงเทรา!M244"")"),19493.0)</f>
        <v>19493</v>
      </c>
      <c r="O349" s="406">
        <f>+IF(L349&gt;0,N349*100/L349,0)</f>
        <v>6.006347446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IFERROR(__xludf.DUMMYFUNCTION("IMPORTRANGE(""https://docs.google.com/spreadsheets/d/1SX6NBoVAgQJ6U1MVXOaj8PK2l7WJ3RER9xtqwdhxkhw/edit?usp=sharing"",""ฉะเชิงเทรา!I245"")"),54.0)</f>
        <v>54</v>
      </c>
      <c r="J350" s="404">
        <f>IFERROR(__xludf.DUMMYFUNCTION("IMPORTRANGE(""https://docs.google.com/spreadsheets/d/1SX6NBoVAgQJ6U1MVXOaj8PK2l7WJ3RER9xtqwdhxkhw/edit?usp=sharing"",""ฉะเชิงเทรา!J245"")"),0.0)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IFERROR(__xludf.DUMMYFUNCTION("IMPORTRANGE(""https://docs.google.com/spreadsheets/d/1SX6NBoVAgQJ6U1MVXOaj8PK2l7WJ3RER9xtqwdhxkhw/edit?usp=sharing"",""ฉะเชิงเทรา!L246"")"),0.0)</f>
        <v>0</v>
      </c>
      <c r="M351" s="197"/>
      <c r="N351" s="197">
        <f>IFERROR(__xludf.DUMMYFUNCTION("IMPORTRANGE(""https://docs.google.com/spreadsheets/d/1SX6NBoVAgQJ6U1MVXOaj8PK2l7WJ3RER9xtqwdhxkhw/edit?usp=sharing"",""ฉะเชิงเทรา!M246"")"),0.0)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IFERROR(__xludf.DUMMYFUNCTION("IMPORTRANGE(""https://docs.google.com/spreadsheets/d/1SX6NBoVAgQJ6U1MVXOaj8PK2l7WJ3RER9xtqwdhxkhw/edit?usp=sharing"",""ฉะเชิงเทรา!L247"")"),324540.0)</f>
        <v>324540</v>
      </c>
      <c r="M352" s="198"/>
      <c r="N352" s="197">
        <f>IFERROR(__xludf.DUMMYFUNCTION("IMPORTRANGE(""https://docs.google.com/spreadsheets/d/1SX6NBoVAgQJ6U1MVXOaj8PK2l7WJ3RER9xtqwdhxkhw/edit?usp=sharing"",""ฉะเชิงเทรา!M247"")"),19493.0)</f>
        <v>19493</v>
      </c>
      <c r="O352" s="198">
        <f t="shared" si="106"/>
        <v>6.006347446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IFERROR(__xludf.DUMMYFUNCTION("IMPORTRANGE(""https://docs.google.com/spreadsheets/d/1SX6NBoVAgQJ6U1MVXOaj8PK2l7WJ3RER9xtqwdhxkhw/edit?usp=sharing"",""ฉะเชิงเทรา!L248"")"),0.0)</f>
        <v>0</v>
      </c>
      <c r="M353" s="203"/>
      <c r="N353" s="203">
        <f>IFERROR(__xludf.DUMMYFUNCTION("IMPORTRANGE(""https://docs.google.com/spreadsheets/d/1SX6NBoVAgQJ6U1MVXOaj8PK2l7WJ3RER9xtqwdhxkhw/edit?usp=sharing"",""ฉะเชิงเทรา!M248"")"),0.0)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IFERROR(__xludf.DUMMYFUNCTION("IMPORTRANGE(""https://docs.google.com/spreadsheets/d/1SX6NBoVAgQJ6U1MVXOaj8PK2l7WJ3RER9xtqwdhxkhw/edit?usp=sharing"",""ฉะเชิงเทรา!L249"")"),324540.0)</f>
        <v>324540</v>
      </c>
      <c r="M354" s="203"/>
      <c r="N354" s="200">
        <f>IFERROR(__xludf.DUMMYFUNCTION("IMPORTRANGE(""https://docs.google.com/spreadsheets/d/1SX6NBoVAgQJ6U1MVXOaj8PK2l7WJ3RER9xtqwdhxkhw/edit?usp=sharing"",""ฉะเชิงเทรา!M249"")"),19493.0)</f>
        <v>19493</v>
      </c>
      <c r="O354" s="203">
        <f t="shared" si="106"/>
        <v>6.006347446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IFERROR(__xludf.DUMMYFUNCTION("IMPORTRANGE(""https://docs.google.com/spreadsheets/d/1SX6NBoVAgQJ6U1MVXOaj8PK2l7WJ3RER9xtqwdhxkhw/edit?usp=sharing"",""ฉะเชิงเทรา!M250"")"),0.0)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IFERROR(__xludf.DUMMYFUNCTION("IMPORTRANGE(""https://docs.google.com/spreadsheets/d/1SX6NBoVAgQJ6U1MVXOaj8PK2l7WJ3RER9xtqwdhxkhw/edit?usp=sharing"",""ฉะเชิงเทรา!M251"")"),0.0)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IFERROR(__xludf.DUMMYFUNCTION("IMPORTRANGE(""https://docs.google.com/spreadsheets/d/1SX6NBoVAgQJ6U1MVXOaj8PK2l7WJ3RER9xtqwdhxkhw/edit?usp=sharing"",""ฉะเชิงเทรา!M252"")"),17233.0)</f>
        <v>17233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IFERROR(__xludf.DUMMYFUNCTION("IMPORTRANGE(""https://docs.google.com/spreadsheets/d/1SX6NBoVAgQJ6U1MVXOaj8PK2l7WJ3RER9xtqwdhxkhw/edit?usp=sharing"",""ฉะเชิงเทรา!M253"")"),2260.0)</f>
        <v>2260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IFERROR(__xludf.DUMMYFUNCTION("IMPORTRANGE(""https://docs.google.com/spreadsheets/d/1SX6NBoVAgQJ6U1MVXOaj8PK2l7WJ3RER9xtqwdhxkhw/edit?usp=sharing"",""ฉะเชิงเทรา!J255"")"),0.0)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IFERROR(__xludf.DUMMYFUNCTION("IMPORTRANGE(""https://docs.google.com/spreadsheets/d/1SX6NBoVAgQJ6U1MVXOaj8PK2l7WJ3RER9xtqwdhxkhw/edit?usp=sharing"",""ฉะเชิงเทรา!J256"")"),1.0)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IFERROR(__xludf.DUMMYFUNCTION("IMPORTRANGE(""https://docs.google.com/spreadsheets/d/1SX6NBoVAgQJ6U1MVXOaj8PK2l7WJ3RER9xtqwdhxkhw/edit?usp=sharing"",""ฉะเชิงเทรา!J257"")"),0.0)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IFERROR(__xludf.DUMMYFUNCTION("IMPORTRANGE(""https://docs.google.com/spreadsheets/d/1SX6NBoVAgQJ6U1MVXOaj8PK2l7WJ3RER9xtqwdhxkhw/edit?usp=sharing"",""ฉะเชิงเทรา!J258"")"),0.0)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IFERROR(__xludf.DUMMYFUNCTION("IMPORTRANGE(""https://docs.google.com/spreadsheets/d/1SX6NBoVAgQJ6U1MVXOaj8PK2l7WJ3RER9xtqwdhxkhw/edit?usp=sharing"",""ฉะเชิงเทรา!J166"")"),0.0)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IFERROR(__xludf.DUMMYFUNCTION("IMPORTRANGE(""https://docs.google.com/spreadsheets/d/1SX6NBoVAgQJ6U1MVXOaj8PK2l7WJ3RER9xtqwdhxkhw/edit?usp=sharing"",""ฉะเชิงเทรา!J166"")"),0.0)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IFERROR(__xludf.DUMMYFUNCTION("IMPORTRANGE(""https://docs.google.com/spreadsheets/d/1SX6NBoVAgQJ6U1MVXOaj8PK2l7WJ3RER9xtqwdhxkhw/edit?usp=sharing"",""ฉะเชิงเทรา!J166"")"),0.0)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IFERROR(__xludf.DUMMYFUNCTION("IMPORTRANGE(""https://docs.google.com/spreadsheets/d/1SX6NBoVAgQJ6U1MVXOaj8PK2l7WJ3RER9xtqwdhxkhw/edit?usp=sharing"",""ฉะเชิงเทรา!J166"")"),0.0)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IFERROR(__xludf.DUMMYFUNCTION("IMPORTRANGE(""https://docs.google.com/spreadsheets/d/1SX6NBoVAgQJ6U1MVXOaj8PK2l7WJ3RER9xtqwdhxkhw/edit?usp=sharing"",""ฉะเชิงเทรา!I263"")"),54.0)</f>
        <v>54</v>
      </c>
      <c r="J368" s="222">
        <f>IFERROR(__xludf.DUMMYFUNCTION("IMPORTRANGE(""https://docs.google.com/spreadsheets/d/1SX6NBoVAgQJ6U1MVXOaj8PK2l7WJ3RER9xtqwdhxkhw/edit?usp=sharing"",""ฉะเชิงเทรา!J263"")"),0.0)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IFERROR(__xludf.DUMMYFUNCTION("IMPORTRANGE(""https://docs.google.com/spreadsheets/d/1SX6NBoVAgQJ6U1MVXOaj8PK2l7WJ3RER9xtqwdhxkhw/edit?usp=sharing"",""ฉะเชิงเทรา!I164"")"),0.0)</f>
        <v>0</v>
      </c>
      <c r="J369" s="238">
        <f>IFERROR(__xludf.DUMMYFUNCTION("IMPORTRANGE(""https://docs.google.com/spreadsheets/d/1SX6NBoVAgQJ6U1MVXOaj8PK2l7WJ3RER9xtqwdhxkhw/edit?usp=sharing"",""ฉะเชิงเทรา!J164"")"),0.0)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IFERROR(__xludf.DUMMYFUNCTION("IMPORTRANGE(""https://docs.google.com/spreadsheets/d/1SX6NBoVAgQJ6U1MVXOaj8PK2l7WJ3RER9xtqwdhxkhw/edit?usp=sharing"",""ฉะเชิงเทรา!I265"")"),54.0)</f>
        <v>54</v>
      </c>
      <c r="J370" s="238">
        <f>IFERROR(__xludf.DUMMYFUNCTION("IMPORTRANGE(""https://docs.google.com/spreadsheets/d/1SX6NBoVAgQJ6U1MVXOaj8PK2l7WJ3RER9xtqwdhxkhw/edit?usp=sharing"",""ฉะเชิงเทรา!J265"")"),0.0)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IFERROR(__xludf.DUMMYFUNCTION("IMPORTRANGE(""https://docs.google.com/spreadsheets/d/1SX6NBoVAgQJ6U1MVXOaj8PK2l7WJ3RER9xtqwdhxkhw/edit?usp=sharing"",""ฉะเชิงเทรา!I164"")"),0.0)</f>
        <v>0</v>
      </c>
      <c r="J371" s="223">
        <f>IFERROR(__xludf.DUMMYFUNCTION("IMPORTRANGE(""https://docs.google.com/spreadsheets/d/1SX6NBoVAgQJ6U1MVXOaj8PK2l7WJ3RER9xtqwdhxkhw/edit?usp=sharing"",""ฉะเชิงเทรา!J164"")"),0.0)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IFERROR(__xludf.DUMMYFUNCTION("IMPORTRANGE(""https://docs.google.com/spreadsheets/d/1SX6NBoVAgQJ6U1MVXOaj8PK2l7WJ3RER9xtqwdhxkhw/edit?usp=sharing"",""ฉะเชิงเทรา!I267"")"),54.0)</f>
        <v>54</v>
      </c>
      <c r="J372" s="223">
        <f>IFERROR(__xludf.DUMMYFUNCTION("IMPORTRANGE(""https://docs.google.com/spreadsheets/d/1SX6NBoVAgQJ6U1MVXOaj8PK2l7WJ3RER9xtqwdhxkhw/edit?usp=sharing"",""ฉะเชิงเทรา!J267"")"),0.0)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IFERROR(__xludf.DUMMYFUNCTION("IMPORTRANGE(""https://docs.google.com/spreadsheets/d/1SX6NBoVAgQJ6U1MVXOaj8PK2l7WJ3RER9xtqwdhxkhw/edit?usp=sharing"",""ฉะเชิงเทรา!I164"")"),0.0)</f>
        <v>0</v>
      </c>
      <c r="J373" s="238">
        <f>IFERROR(__xludf.DUMMYFUNCTION("IMPORTRANGE(""https://docs.google.com/spreadsheets/d/1SX6NBoVAgQJ6U1MVXOaj8PK2l7WJ3RER9xtqwdhxkhw/edit?usp=sharing"",""ฉะเชิงเทรา!J164"")"),0.0)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IFERROR(__xludf.DUMMYFUNCTION("IMPORTRANGE(""https://docs.google.com/spreadsheets/d/1SX6NBoVAgQJ6U1MVXOaj8PK2l7WJ3RER9xtqwdhxkhw/edit?usp=sharing"",""ฉะเชิงเทรา!I164"")"),0.0)</f>
        <v>0</v>
      </c>
      <c r="J374" s="222">
        <f>IFERROR(__xludf.DUMMYFUNCTION("IMPORTRANGE(""https://docs.google.com/spreadsheets/d/1SX6NBoVAgQJ6U1MVXOaj8PK2l7WJ3RER9xtqwdhxkhw/edit?usp=sharing"",""ฉะเชิงเทรา!J164"")"),0.0)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IFERROR(__xludf.DUMMYFUNCTION("IMPORTRANGE(""https://docs.google.com/spreadsheets/d/1SX6NBoVAgQJ6U1MVXOaj8PK2l7WJ3RER9xtqwdhxkhw/edit?usp=sharing"",""ฉะเชิงเทรา!I270"")"),64.0)</f>
        <v>64</v>
      </c>
      <c r="J375" s="222">
        <f>IFERROR(__xludf.DUMMYFUNCTION("IMPORTRANGE(""https://docs.google.com/spreadsheets/d/1SX6NBoVAgQJ6U1MVXOaj8PK2l7WJ3RER9xtqwdhxkhw/edit?usp=sharing"",""ฉะเชิงเทรา!J270"")"),0.0)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IFERROR(__xludf.DUMMYFUNCTION("IMPORTRANGE(""https://docs.google.com/spreadsheets/d/1SX6NBoVAgQJ6U1MVXOaj8PK2l7WJ3RER9xtqwdhxkhw/edit?usp=sharing"",""ฉะเชิงเทรา!I271"")"),20.0)</f>
        <v>20</v>
      </c>
      <c r="J376" s="223">
        <f>IFERROR(__xludf.DUMMYFUNCTION("IMPORTRANGE(""https://docs.google.com/spreadsheets/d/1SX6NBoVAgQJ6U1MVXOaj8PK2l7WJ3RER9xtqwdhxkhw/edit?usp=sharing"",""ฉะเชิงเทรา!J271"")"),0.0)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IFERROR(__xludf.DUMMYFUNCTION("IMPORTRANGE(""https://docs.google.com/spreadsheets/d/1SX6NBoVAgQJ6U1MVXOaj8PK2l7WJ3RER9xtqwdhxkhw/edit?usp=sharing"",""ฉะเชิงเทรา!I272"")"),44.0)</f>
        <v>44</v>
      </c>
      <c r="J377" s="238">
        <f>IFERROR(__xludf.DUMMYFUNCTION("IMPORTRANGE(""https://docs.google.com/spreadsheets/d/1SX6NBoVAgQJ6U1MVXOaj8PK2l7WJ3RER9xtqwdhxkhw/edit?usp=sharing"",""ฉะเชิงเทรา!J272"")"),0.0)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IFERROR(__xludf.DUMMYFUNCTION("IMPORTRANGE(""https://docs.google.com/spreadsheets/d/1SX6NBoVAgQJ6U1MVXOaj8PK2l7WJ3RER9xtqwdhxkhw/edit?usp=sharing"",""ฉะเชิงเทรา!J273"")"),0.0)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IFERROR(__xludf.DUMMYFUNCTION("IMPORTRANGE(""https://docs.google.com/spreadsheets/d/1SX6NBoVAgQJ6U1MVXOaj8PK2l7WJ3RER9xtqwdhxkhw/edit?usp=sharing"",""ฉะเชิงเทรา!J274"")"),0.0)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IFERROR(__xludf.DUMMYFUNCTION("IMPORTRANGE(""https://docs.google.com/spreadsheets/d/1SX6NBoVAgQJ6U1MVXOaj8PK2l7WJ3RER9xtqwdhxkhw/edit?usp=sharing"",""ฉะเชิงเทรา!I275"")"),1000.0)</f>
        <v>1000</v>
      </c>
      <c r="J380" s="404">
        <f>IFERROR(__xludf.DUMMYFUNCTION("IMPORTRANGE(""https://docs.google.com/spreadsheets/d/1SX6NBoVAgQJ6U1MVXOaj8PK2l7WJ3RER9xtqwdhxkhw/edit?usp=sharing"",""ฉะเชิงเทรา!J275"")"),0.0)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IFERROR(__xludf.DUMMYFUNCTION("IMPORTRANGE(""https://docs.google.com/spreadsheets/d/1SX6NBoVAgQJ6U1MVXOaj8PK2l7WJ3RER9xtqwdhxkhw/edit?usp=sharing"",""ฉะเชิงเทรา!L275"")"),1028520.0)</f>
        <v>1028520</v>
      </c>
      <c r="M380" s="406"/>
      <c r="N380" s="406">
        <f>IFERROR(__xludf.DUMMYFUNCTION("IMPORTRANGE(""https://docs.google.com/spreadsheets/d/1SX6NBoVAgQJ6U1MVXOaj8PK2l7WJ3RER9xtqwdhxkhw/edit?usp=sharing"",""ฉะเชิงเทรา!M275"")"),1100.0)</f>
        <v>1100</v>
      </c>
      <c r="O380" s="406">
        <f>+IF(L380&gt;0,N380*100/L380,0)</f>
        <v>0.1069497919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IFERROR(__xludf.DUMMYFUNCTION("IMPORTRANGE(""https://docs.google.com/spreadsheets/d/1SX6NBoVAgQJ6U1MVXOaj8PK2l7WJ3RER9xtqwdhxkhw/edit?usp=sharing"",""ฉะเชิงเทรา!I276"")"),100.0)</f>
        <v>100</v>
      </c>
      <c r="J381" s="404">
        <f>IFERROR(__xludf.DUMMYFUNCTION("IMPORTRANGE(""https://docs.google.com/spreadsheets/d/1SX6NBoVAgQJ6U1MVXOaj8PK2l7WJ3RER9xtqwdhxkhw/edit?usp=sharing"",""ฉะเชิงเทรา!J276"")"),0.0)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IFERROR(__xludf.DUMMYFUNCTION("IMPORTRANGE(""https://docs.google.com/spreadsheets/d/1SX6NBoVAgQJ6U1MVXOaj8PK2l7WJ3RER9xtqwdhxkhw/edit?usp=sharing"",""ฉะเชิงเทรา!L277"")"),0.0)</f>
        <v>0</v>
      </c>
      <c r="M382" s="197"/>
      <c r="N382" s="197">
        <f>IFERROR(__xludf.DUMMYFUNCTION("IMPORTRANGE(""https://docs.google.com/spreadsheets/d/1SX6NBoVAgQJ6U1MVXOaj8PK2l7WJ3RER9xtqwdhxkhw/edit?usp=sharing"",""ฉะเชิงเทรา!M277"")"),0.0)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IFERROR(__xludf.DUMMYFUNCTION("IMPORTRANGE(""https://docs.google.com/spreadsheets/d/1SX6NBoVAgQJ6U1MVXOaj8PK2l7WJ3RER9xtqwdhxkhw/edit?usp=sharing"",""ฉะเชิงเทรา!L278"")"),1028520.0)</f>
        <v>1028520</v>
      </c>
      <c r="M383" s="198"/>
      <c r="N383" s="198">
        <f>IFERROR(__xludf.DUMMYFUNCTION("IMPORTRANGE(""https://docs.google.com/spreadsheets/d/1SX6NBoVAgQJ6U1MVXOaj8PK2l7WJ3RER9xtqwdhxkhw/edit?usp=sharing"",""ฉะเชิงเทรา!M278"")"),1100.0)</f>
        <v>1100</v>
      </c>
      <c r="O383" s="198">
        <f t="shared" si="110"/>
        <v>0.1069497919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IFERROR(__xludf.DUMMYFUNCTION("IMPORTRANGE(""https://docs.google.com/spreadsheets/d/1SX6NBoVAgQJ6U1MVXOaj8PK2l7WJ3RER9xtqwdhxkhw/edit?usp=sharing"",""ฉะเชิงเทรา!L279"")"),0.0)</f>
        <v>0</v>
      </c>
      <c r="M384" s="203"/>
      <c r="N384" s="203">
        <f>IFERROR(__xludf.DUMMYFUNCTION("IMPORTRANGE(""https://docs.google.com/spreadsheets/d/1SX6NBoVAgQJ6U1MVXOaj8PK2l7WJ3RER9xtqwdhxkhw/edit?usp=sharing"",""ฉะเชิงเทรา!M279"")"),0.0)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IFERROR(__xludf.DUMMYFUNCTION("IMPORTRANGE(""https://docs.google.com/spreadsheets/d/1SX6NBoVAgQJ6U1MVXOaj8PK2l7WJ3RER9xtqwdhxkhw/edit?usp=sharing"",""ฉะเชิงเทรา!L280"")"),1028520.0)</f>
        <v>1028520</v>
      </c>
      <c r="M385" s="203"/>
      <c r="N385" s="200">
        <f>IFERROR(__xludf.DUMMYFUNCTION("IMPORTRANGE(""https://docs.google.com/spreadsheets/d/1SX6NBoVAgQJ6U1MVXOaj8PK2l7WJ3RER9xtqwdhxkhw/edit?usp=sharing"",""ฉะเชิงเทรา!M280"")"),1100.0)</f>
        <v>1100</v>
      </c>
      <c r="O385" s="203">
        <f t="shared" si="110"/>
        <v>0.1069497919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IFERROR(__xludf.DUMMYFUNCTION("IMPORTRANGE(""https://docs.google.com/spreadsheets/d/1SX6NBoVAgQJ6U1MVXOaj8PK2l7WJ3RER9xtqwdhxkhw/edit?usp=sharing"",""ฉะเชิงเทรา!M281"")"),0.0)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IFERROR(__xludf.DUMMYFUNCTION("IMPORTRANGE(""https://docs.google.com/spreadsheets/d/1SX6NBoVAgQJ6U1MVXOaj8PK2l7WJ3RER9xtqwdhxkhw/edit?usp=sharing"",""ฉะเชิงเทรา!M282"")"),0.0)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IFERROR(__xludf.DUMMYFUNCTION("IMPORTRANGE(""https://docs.google.com/spreadsheets/d/1SX6NBoVAgQJ6U1MVXOaj8PK2l7WJ3RER9xtqwdhxkhw/edit?usp=sharing"",""ฉะเชิงเทรา!M283"")"),1100.0)</f>
        <v>1100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IFERROR(__xludf.DUMMYFUNCTION("IMPORTRANGE(""https://docs.google.com/spreadsheets/d/1SX6NBoVAgQJ6U1MVXOaj8PK2l7WJ3RER9xtqwdhxkhw/edit?usp=sharing"",""ฉะเชิงเทรา!M284"")"),0.0)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IFERROR(__xludf.DUMMYFUNCTION("IMPORTRANGE(""https://docs.google.com/spreadsheets/d/1SX6NBoVAgQJ6U1MVXOaj8PK2l7WJ3RER9xtqwdhxkhw/edit?usp=sharing"",""ฉะเชิงเทรา!J286"")"),1.0)</f>
        <v>1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IFERROR(__xludf.DUMMYFUNCTION("IMPORTRANGE(""https://docs.google.com/spreadsheets/d/1SX6NBoVAgQJ6U1MVXOaj8PK2l7WJ3RER9xtqwdhxkhw/edit?usp=sharing"",""ฉะเชิงเทรา!J287"")"),0.0)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IFERROR(__xludf.DUMMYFUNCTION("IMPORTRANGE(""https://docs.google.com/spreadsheets/d/1SX6NBoVAgQJ6U1MVXOaj8PK2l7WJ3RER9xtqwdhxkhw/edit?usp=sharing"",""ฉะเชิงเทรา!J288"")"),0.0)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IFERROR(__xludf.DUMMYFUNCTION("IMPORTRANGE(""https://docs.google.com/spreadsheets/d/1SX6NBoVAgQJ6U1MVXOaj8PK2l7WJ3RER9xtqwdhxkhw/edit?usp=sharing"",""ฉะเชิงเทรา!J289"")"),0.0)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IFERROR(__xludf.DUMMYFUNCTION("IMPORTRANGE(""https://docs.google.com/spreadsheets/d/1SX6NBoVAgQJ6U1MVXOaj8PK2l7WJ3RER9xtqwdhxkhw/edit?usp=sharing"",""ฉะเชิงเทรา!I291"")"),100.0)</f>
        <v>100</v>
      </c>
      <c r="J396" s="232">
        <f>IFERROR(__xludf.DUMMYFUNCTION("IMPORTRANGE(""https://docs.google.com/spreadsheets/d/1SX6NBoVAgQJ6U1MVXOaj8PK2l7WJ3RER9xtqwdhxkhw/edit?usp=sharing"",""ฉะเชิงเทรา!J291"")"),0.0)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IFERROR(__xludf.DUMMYFUNCTION("IMPORTRANGE(""https://docs.google.com/spreadsheets/d/1SX6NBoVAgQJ6U1MVXOaj8PK2l7WJ3RER9xtqwdhxkhw/edit?usp=sharing"",""ฉะเชิงเทรา!I292"")"),1000.0)</f>
        <v>1000</v>
      </c>
      <c r="J397" s="232">
        <f>IFERROR(__xludf.DUMMYFUNCTION("IMPORTRANGE(""https://docs.google.com/spreadsheets/d/1SX6NBoVAgQJ6U1MVXOaj8PK2l7WJ3RER9xtqwdhxkhw/edit?usp=sharing"",""ฉะเชิงเทรา!J292"")"),0.0)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IFERROR(__xludf.DUMMYFUNCTION("IMPORTRANGE(""https://docs.google.com/spreadsheets/d/1SX6NBoVAgQJ6U1MVXOaj8PK2l7WJ3RER9xtqwdhxkhw/edit?usp=sharing"",""ฉะเชิงเทรา!I293"")"),100.0)</f>
        <v>100</v>
      </c>
      <c r="J398" s="232">
        <f>IFERROR(__xludf.DUMMYFUNCTION("IMPORTRANGE(""https://docs.google.com/spreadsheets/d/1SX6NBoVAgQJ6U1MVXOaj8PK2l7WJ3RER9xtqwdhxkhw/edit?usp=sharing"",""ฉะเชิงเทรา!J293"")"),0.0)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IFERROR(__xludf.DUMMYFUNCTION("IMPORTRANGE(""https://docs.google.com/spreadsheets/d/1SX6NBoVAgQJ6U1MVXOaj8PK2l7WJ3RER9xtqwdhxkhw/edit?usp=sharing"",""ฉะเชิงเทรา!J294"")"),0.0)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IFERROR(__xludf.DUMMYFUNCTION("IMPORTRANGE(""https://docs.google.com/spreadsheets/d/1SX6NBoVAgQJ6U1MVXOaj8PK2l7WJ3RER9xtqwdhxkhw/edit?usp=sharing"",""ฉะเชิงเทรา!J295"")"),0.0)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IFERROR(__xludf.DUMMYFUNCTION("IMPORTRANGE(""https://docs.google.com/spreadsheets/d/1SX6NBoVAgQJ6U1MVXOaj8PK2l7WJ3RER9xtqwdhxkhw/edit?usp=sharing"",""ฉะเชิงเทรา!I296"")"),240.0)</f>
        <v>240</v>
      </c>
      <c r="J401" s="404">
        <f>IFERROR(__xludf.DUMMYFUNCTION("IMPORTRANGE(""https://docs.google.com/spreadsheets/d/1SX6NBoVAgQJ6U1MVXOaj8PK2l7WJ3RER9xtqwdhxkhw/edit?usp=sharing"",""ฉะเชิงเทรา!J296"")"),0.0)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IFERROR(__xludf.DUMMYFUNCTION("IMPORTRANGE(""https://docs.google.com/spreadsheets/d/1SX6NBoVAgQJ6U1MVXOaj8PK2l7WJ3RER9xtqwdhxkhw/edit?usp=sharing"",""ฉะเชิงเทรา!L296"")"),267520.0)</f>
        <v>267520</v>
      </c>
      <c r="M401" s="406"/>
      <c r="N401" s="406">
        <f>IFERROR(__xludf.DUMMYFUNCTION("IMPORTRANGE(""https://docs.google.com/spreadsheets/d/1SX6NBoVAgQJ6U1MVXOaj8PK2l7WJ3RER9xtqwdhxkhw/edit?usp=sharing"",""ฉะเชิงเทรา!M296"")"),173650.0)</f>
        <v>173650</v>
      </c>
      <c r="O401" s="406">
        <f>+IF(L401&gt;0,N401*100/L401,0)</f>
        <v>64.91103469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IFERROR(__xludf.DUMMYFUNCTION("IMPORTRANGE(""https://docs.google.com/spreadsheets/d/1SX6NBoVAgQJ6U1MVXOaj8PK2l7WJ3RER9xtqwdhxkhw/edit?usp=sharing"",""ฉะเชิงเทรา!I297"")"),80.0)</f>
        <v>80</v>
      </c>
      <c r="J402" s="404">
        <f>IFERROR(__xludf.DUMMYFUNCTION("IMPORTRANGE(""https://docs.google.com/spreadsheets/d/1SX6NBoVAgQJ6U1MVXOaj8PK2l7WJ3RER9xtqwdhxkhw/edit?usp=sharing"",""ฉะเชิงเทรา!J297"")"),30.0)</f>
        <v>30</v>
      </c>
      <c r="K402" s="405">
        <f t="shared" si="112"/>
        <v>37.5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IFERROR(__xludf.DUMMYFUNCTION("IMPORTRANGE(""https://docs.google.com/spreadsheets/d/1SX6NBoVAgQJ6U1MVXOaj8PK2l7WJ3RER9xtqwdhxkhw/edit?usp=sharing"",""ฉะเชิงเทรา!L298"")"),0.0)</f>
        <v>0</v>
      </c>
      <c r="M403" s="197"/>
      <c r="N403" s="203">
        <f>IFERROR(__xludf.DUMMYFUNCTION("IMPORTRANGE(""https://docs.google.com/spreadsheets/d/1SX6NBoVAgQJ6U1MVXOaj8PK2l7WJ3RER9xtqwdhxkhw/edit?usp=sharing"",""ฉะเชิงเทรา!M298"")"),0.0)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IFERROR(__xludf.DUMMYFUNCTION("IMPORTRANGE(""https://docs.google.com/spreadsheets/d/1SX6NBoVAgQJ6U1MVXOaj8PK2l7WJ3RER9xtqwdhxkhw/edit?usp=sharing"",""ฉะเชิงเทรา!L299"")"),267520.0)</f>
        <v>267520</v>
      </c>
      <c r="M404" s="198"/>
      <c r="N404" s="203">
        <f>IFERROR(__xludf.DUMMYFUNCTION("IMPORTRANGE(""https://docs.google.com/spreadsheets/d/1SX6NBoVAgQJ6U1MVXOaj8PK2l7WJ3RER9xtqwdhxkhw/edit?usp=sharing"",""ฉะเชิงเทรา!M299"")"),173650.0)</f>
        <v>173650</v>
      </c>
      <c r="O404" s="203">
        <f t="shared" si="113"/>
        <v>64.91103469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IFERROR(__xludf.DUMMYFUNCTION("IMPORTRANGE(""https://docs.google.com/spreadsheets/d/1SX6NBoVAgQJ6U1MVXOaj8PK2l7WJ3RER9xtqwdhxkhw/edit?usp=sharing"",""ฉะเชิงเทรา!L300"")"),0.0)</f>
        <v>0</v>
      </c>
      <c r="M405" s="203"/>
      <c r="N405" s="203">
        <f>IFERROR(__xludf.DUMMYFUNCTION("IMPORTRANGE(""https://docs.google.com/spreadsheets/d/1SX6NBoVAgQJ6U1MVXOaj8PK2l7WJ3RER9xtqwdhxkhw/edit?usp=sharing"",""ฉะเชิงเทรา!M300"")"),0.0)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IFERROR(__xludf.DUMMYFUNCTION("IMPORTRANGE(""https://docs.google.com/spreadsheets/d/1SX6NBoVAgQJ6U1MVXOaj8PK2l7WJ3RER9xtqwdhxkhw/edit?usp=sharing"",""ฉะเชิงเทรา!L301"")"),267520.0)</f>
        <v>267520</v>
      </c>
      <c r="M406" s="203"/>
      <c r="N406" s="203">
        <f>IFERROR(__xludf.DUMMYFUNCTION("IMPORTRANGE(""https://docs.google.com/spreadsheets/d/1SX6NBoVAgQJ6U1MVXOaj8PK2l7WJ3RER9xtqwdhxkhw/edit?usp=sharing"",""ฉะเชิงเทรา!M301"")"),173650.0)</f>
        <v>173650</v>
      </c>
      <c r="O406" s="203">
        <f t="shared" si="113"/>
        <v>64.91103469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IFERROR(__xludf.DUMMYFUNCTION("IMPORTRANGE(""https://docs.google.com/spreadsheets/d/1SX6NBoVAgQJ6U1MVXOaj8PK2l7WJ3RER9xtqwdhxkhw/edit?usp=sharing"",""ฉะเชิงเทรา!M302"")"),113950.0)</f>
        <v>113950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IFERROR(__xludf.DUMMYFUNCTION("IMPORTRANGE(""https://docs.google.com/spreadsheets/d/1SX6NBoVAgQJ6U1MVXOaj8PK2l7WJ3RER9xtqwdhxkhw/edit?usp=sharing"",""ฉะเชิงเทรา!M303"")"),45000.0)</f>
        <v>45000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IFERROR(__xludf.DUMMYFUNCTION("IMPORTRANGE(""https://docs.google.com/spreadsheets/d/1SX6NBoVAgQJ6U1MVXOaj8PK2l7WJ3RER9xtqwdhxkhw/edit?usp=sharing"",""ฉะเชิงเทรา!M304"")"),0.0)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IFERROR(__xludf.DUMMYFUNCTION("IMPORTRANGE(""https://docs.google.com/spreadsheets/d/1SX6NBoVAgQJ6U1MVXOaj8PK2l7WJ3RER9xtqwdhxkhw/edit?usp=sharing"",""ฉะเชิงเทรา!M305"")"),14700.0)</f>
        <v>14700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IFERROR(__xludf.DUMMYFUNCTION("IMPORTRANGE(""https://docs.google.com/spreadsheets/d/1SX6NBoVAgQJ6U1MVXOaj8PK2l7WJ3RER9xtqwdhxkhw/edit?usp=sharing"",""ฉะเชิงเทรา!J307"")"),0.0)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IFERROR(__xludf.DUMMYFUNCTION("IMPORTRANGE(""https://docs.google.com/spreadsheets/d/1SX6NBoVAgQJ6U1MVXOaj8PK2l7WJ3RER9xtqwdhxkhw/edit?usp=sharing"",""ฉะเชิงเทรา!J308"")"),1.0)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IFERROR(__xludf.DUMMYFUNCTION("IMPORTRANGE(""https://docs.google.com/spreadsheets/d/1SX6NBoVAgQJ6U1MVXOaj8PK2l7WJ3RER9xtqwdhxkhw/edit?usp=sharing"",""ฉะเชิงเทรา!J309"")"),1.0)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IFERROR(__xludf.DUMMYFUNCTION("IMPORTRANGE(""https://docs.google.com/spreadsheets/d/1SX6NBoVAgQJ6U1MVXOaj8PK2l7WJ3RER9xtqwdhxkhw/edit?usp=sharing"",""ฉะเชิงเทรา!J310"")"),1.0)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IFERROR(__xludf.DUMMYFUNCTION("IMPORTRANGE(""https://docs.google.com/spreadsheets/d/1SX6NBoVAgQJ6U1MVXOaj8PK2l7WJ3RER9xtqwdhxkhw/edit?usp=sharing"",""ฉะเชิงเทรา!I311"")"),80.0)</f>
        <v>80</v>
      </c>
      <c r="J416" s="235">
        <f>IFERROR(__xludf.DUMMYFUNCTION("IMPORTRANGE(""https://docs.google.com/spreadsheets/d/1SX6NBoVAgQJ6U1MVXOaj8PK2l7WJ3RER9xtqwdhxkhw/edit?usp=sharing"",""ฉะเชิงเทรา!J311"")"),30.0)</f>
        <v>30</v>
      </c>
      <c r="K416" s="236">
        <f t="shared" ref="K416:K432" si="114">IF(I416&gt;0,J416*100/I416,0)</f>
        <v>37.5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IFERROR(__xludf.DUMMYFUNCTION("IMPORTRANGE(""https://docs.google.com/spreadsheets/d/1SX6NBoVAgQJ6U1MVXOaj8PK2l7WJ3RER9xtqwdhxkhw/edit?usp=sharing"",""ฉะเชิงเทรา!I312"")"),30.0)</f>
        <v>30</v>
      </c>
      <c r="J417" s="425">
        <f>IFERROR(__xludf.DUMMYFUNCTION("IMPORTRANGE(""https://docs.google.com/spreadsheets/d/1SX6NBoVAgQJ6U1MVXOaj8PK2l7WJ3RER9xtqwdhxkhw/edit?usp=sharing"",""ฉะเชิงเทรา!J312"")"),30.0)</f>
        <v>30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IFERROR(__xludf.DUMMYFUNCTION("IMPORTRANGE(""https://docs.google.com/spreadsheets/d/1SX6NBoVAgQJ6U1MVXOaj8PK2l7WJ3RER9xtqwdhxkhw/edit?usp=sharing"",""ฉะเชิงเทรา!I313"")"),90.0)</f>
        <v>90</v>
      </c>
      <c r="J418" s="426">
        <f>IFERROR(__xludf.DUMMYFUNCTION("IMPORTRANGE(""https://docs.google.com/spreadsheets/d/1SX6NBoVAgQJ6U1MVXOaj8PK2l7WJ3RER9xtqwdhxkhw/edit?usp=sharing"",""ฉะเชิงเทรา!J313"")"),0.0)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IFERROR(__xludf.DUMMYFUNCTION("IMPORTRANGE(""https://docs.google.com/spreadsheets/d/1SX6NBoVAgQJ6U1MVXOaj8PK2l7WJ3RER9xtqwdhxkhw/edit?usp=sharing"",""ฉะเชิงเทรา!I314"")"),30.0)</f>
        <v>30</v>
      </c>
      <c r="J419" s="427">
        <f>IFERROR(__xludf.DUMMYFUNCTION("IMPORTRANGE(""https://docs.google.com/spreadsheets/d/1SX6NBoVAgQJ6U1MVXOaj8PK2l7WJ3RER9xtqwdhxkhw/edit?usp=sharing"",""ฉะเชิงเทรา!J314"")"),30.0)</f>
        <v>30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IFERROR(__xludf.DUMMYFUNCTION("IMPORTRANGE(""https://docs.google.com/spreadsheets/d/1SX6NBoVAgQJ6U1MVXOaj8PK2l7WJ3RER9xtqwdhxkhw/edit?usp=sharing"",""ฉะเชิงเทรา!I315"")"),30.0)</f>
        <v>30</v>
      </c>
      <c r="J420" s="427">
        <f>IFERROR(__xludf.DUMMYFUNCTION("IMPORTRANGE(""https://docs.google.com/spreadsheets/d/1SX6NBoVAgQJ6U1MVXOaj8PK2l7WJ3RER9xtqwdhxkhw/edit?usp=sharing"",""ฉะเชิงเทรา!J315"")"),30.0)</f>
        <v>30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IFERROR(__xludf.DUMMYFUNCTION("IMPORTRANGE(""https://docs.google.com/spreadsheets/d/1SX6NBoVAgQJ6U1MVXOaj8PK2l7WJ3RER9xtqwdhxkhw/edit?usp=sharing"",""ฉะเชิงเทรา!I316"")"),40.0)</f>
        <v>40</v>
      </c>
      <c r="J421" s="425">
        <f>IFERROR(__xludf.DUMMYFUNCTION("IMPORTRANGE(""https://docs.google.com/spreadsheets/d/1SX6NBoVAgQJ6U1MVXOaj8PK2l7WJ3RER9xtqwdhxkhw/edit?usp=sharing"",""ฉะเชิงเทรา!J316"")"),0.0)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IFERROR(__xludf.DUMMYFUNCTION("IMPORTRANGE(""https://docs.google.com/spreadsheets/d/1SX6NBoVAgQJ6U1MVXOaj8PK2l7WJ3RER9xtqwdhxkhw/edit?usp=sharing"",""ฉะเชิงเทรา!I317"")"),120.0)</f>
        <v>120</v>
      </c>
      <c r="J422" s="426">
        <f>IFERROR(__xludf.DUMMYFUNCTION("IMPORTRANGE(""https://docs.google.com/spreadsheets/d/1SX6NBoVAgQJ6U1MVXOaj8PK2l7WJ3RER9xtqwdhxkhw/edit?usp=sharing"",""ฉะเชิงเทรา!J317"")"),0.0)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IFERROR(__xludf.DUMMYFUNCTION("IMPORTRANGE(""https://docs.google.com/spreadsheets/d/1SX6NBoVAgQJ6U1MVXOaj8PK2l7WJ3RER9xtqwdhxkhw/edit?usp=sharing"",""ฉะเชิงเทรา!I318"")"),40.0)</f>
        <v>40</v>
      </c>
      <c r="J423" s="427">
        <f>IFERROR(__xludf.DUMMYFUNCTION("IMPORTRANGE(""https://docs.google.com/spreadsheets/d/1SX6NBoVAgQJ6U1MVXOaj8PK2l7WJ3RER9xtqwdhxkhw/edit?usp=sharing"",""ฉะเชิงเทรา!J318"")"),0.0)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IFERROR(__xludf.DUMMYFUNCTION("IMPORTRANGE(""https://docs.google.com/spreadsheets/d/1SX6NBoVAgQJ6U1MVXOaj8PK2l7WJ3RER9xtqwdhxkhw/edit?usp=sharing"",""ฉะเชิงเทรา!I319"")"),40.0)</f>
        <v>40</v>
      </c>
      <c r="J424" s="427">
        <f>IFERROR(__xludf.DUMMYFUNCTION("IMPORTRANGE(""https://docs.google.com/spreadsheets/d/1SX6NBoVAgQJ6U1MVXOaj8PK2l7WJ3RER9xtqwdhxkhw/edit?usp=sharing"",""ฉะเชิงเทรา!J319"")"),0.0)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IFERROR(__xludf.DUMMYFUNCTION("IMPORTRANGE(""https://docs.google.com/spreadsheets/d/1SX6NBoVAgQJ6U1MVXOaj8PK2l7WJ3RER9xtqwdhxkhw/edit?usp=sharing"",""ฉะเชิงเทรา!I320"")"),40.0)</f>
        <v>40</v>
      </c>
      <c r="J425" s="427">
        <f>IFERROR(__xludf.DUMMYFUNCTION("IMPORTRANGE(""https://docs.google.com/spreadsheets/d/1SX6NBoVAgQJ6U1MVXOaj8PK2l7WJ3RER9xtqwdhxkhw/edit?usp=sharing"",""ฉะเชิงเทรา!J320"")"),0.0)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IFERROR(__xludf.DUMMYFUNCTION("IMPORTRANGE(""https://docs.google.com/spreadsheets/d/1SX6NBoVAgQJ6U1MVXOaj8PK2l7WJ3RER9xtqwdhxkhw/edit?usp=sharing"",""ฉะเชิงเทรา!I321"")"),10.0)</f>
        <v>10</v>
      </c>
      <c r="J426" s="425">
        <f>IFERROR(__xludf.DUMMYFUNCTION("IMPORTRANGE(""https://docs.google.com/spreadsheets/d/1SX6NBoVAgQJ6U1MVXOaj8PK2l7WJ3RER9xtqwdhxkhw/edit?usp=sharing"",""ฉะเชิงเทรา!J321"")"),0.0)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IFERROR(__xludf.DUMMYFUNCTION("IMPORTRANGE(""https://docs.google.com/spreadsheets/d/1SX6NBoVAgQJ6U1MVXOaj8PK2l7WJ3RER9xtqwdhxkhw/edit?usp=sharing"",""ฉะเชิงเทรา!I322"")"),30.0)</f>
        <v>30</v>
      </c>
      <c r="J427" s="426">
        <f>IFERROR(__xludf.DUMMYFUNCTION("IMPORTRANGE(""https://docs.google.com/spreadsheets/d/1SX6NBoVAgQJ6U1MVXOaj8PK2l7WJ3RER9xtqwdhxkhw/edit?usp=sharing"",""ฉะเชิงเทรา!J322"")"),0.0)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IFERROR(__xludf.DUMMYFUNCTION("IMPORTRANGE(""https://docs.google.com/spreadsheets/d/1SX6NBoVAgQJ6U1MVXOaj8PK2l7WJ3RER9xtqwdhxkhw/edit?usp=sharing"",""ฉะเชิงเทรา!I323"")"),10.0)</f>
        <v>10</v>
      </c>
      <c r="J428" s="427">
        <f>IFERROR(__xludf.DUMMYFUNCTION("IMPORTRANGE(""https://docs.google.com/spreadsheets/d/1SX6NBoVAgQJ6U1MVXOaj8PK2l7WJ3RER9xtqwdhxkhw/edit?usp=sharing"",""ฉะเชิงเทรา!J323"")"),0.0)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IFERROR(__xludf.DUMMYFUNCTION("IMPORTRANGE(""https://docs.google.com/spreadsheets/d/1SX6NBoVAgQJ6U1MVXOaj8PK2l7WJ3RER9xtqwdhxkhw/edit?usp=sharing"",""ฉะเชิงเทรา!I324"")"),10.0)</f>
        <v>10</v>
      </c>
      <c r="J429" s="427">
        <f>IFERROR(__xludf.DUMMYFUNCTION("IMPORTRANGE(""https://docs.google.com/spreadsheets/d/1SX6NBoVAgQJ6U1MVXOaj8PK2l7WJ3RER9xtqwdhxkhw/edit?usp=sharing"",""ฉะเชิงเทรา!J324"")"),0.0)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IFERROR(__xludf.DUMMYFUNCTION("IMPORTRANGE(""https://docs.google.com/spreadsheets/d/1SX6NBoVAgQJ6U1MVXOaj8PK2l7WJ3RER9xtqwdhxkhw/edit?usp=sharing"",""ฉะเชิงเทรา!I325"")"),70.0)</f>
        <v>70</v>
      </c>
      <c r="J430" s="425">
        <f>IFERROR(__xludf.DUMMYFUNCTION("IMPORTRANGE(""https://docs.google.com/spreadsheets/d/1SX6NBoVAgQJ6U1MVXOaj8PK2l7WJ3RER9xtqwdhxkhw/edit?usp=sharing"",""ฉะเชิงเทรา!J325"")"),0.0)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IFERROR(__xludf.DUMMYFUNCTION("IMPORTRANGE(""https://docs.google.com/spreadsheets/d/1SX6NBoVAgQJ6U1MVXOaj8PK2l7WJ3RER9xtqwdhxkhw/edit?usp=sharing"",""ฉะเชิงเทรา!I326"")"),30.0)</f>
        <v>30</v>
      </c>
      <c r="J431" s="427">
        <f>IFERROR(__xludf.DUMMYFUNCTION("IMPORTRANGE(""https://docs.google.com/spreadsheets/d/1SX6NBoVAgQJ6U1MVXOaj8PK2l7WJ3RER9xtqwdhxkhw/edit?usp=sharing"",""ฉะเชิงเทรา!J326"")"),30.0)</f>
        <v>30</v>
      </c>
      <c r="K431" s="196">
        <f t="shared" si="114"/>
        <v>100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IFERROR(__xludf.DUMMYFUNCTION("IMPORTRANGE(""https://docs.google.com/spreadsheets/d/1SX6NBoVAgQJ6U1MVXOaj8PK2l7WJ3RER9xtqwdhxkhw/edit?usp=sharing"",""ฉะเชิงเทรา!I327"")"),40.0)</f>
        <v>40</v>
      </c>
      <c r="J432" s="427">
        <f>IFERROR(__xludf.DUMMYFUNCTION("IMPORTRANGE(""https://docs.google.com/spreadsheets/d/1SX6NBoVAgQJ6U1MVXOaj8PK2l7WJ3RER9xtqwdhxkhw/edit?usp=sharing"",""ฉะเชิงเทรา!J327"")"),0.0)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IFERROR(__xludf.DUMMYFUNCTION("IMPORTRANGE(""https://docs.google.com/spreadsheets/d/1SX6NBoVAgQJ6U1MVXOaj8PK2l7WJ3RER9xtqwdhxkhw/edit?usp=sharing"",""ฉะเชิงเทรา!J328"")"),0.0)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IFERROR(__xludf.DUMMYFUNCTION("IMPORTRANGE(""https://docs.google.com/spreadsheets/d/1SX6NBoVAgQJ6U1MVXOaj8PK2l7WJ3RER9xtqwdhxkhw/edit?usp=sharing"",""ฉะเชิงเทรา!J329"")"),0.0)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IFERROR(__xludf.DUMMYFUNCTION("IMPORTRANGE(""https://docs.google.com/spreadsheets/d/1SX6NBoVAgQJ6U1MVXOaj8PK2l7WJ3RER9xtqwdhxkhw/edit?usp=sharing"",""ฉะเชิงเทรา!I330"")"),60.0)</f>
        <v>60</v>
      </c>
      <c r="J435" s="443">
        <f>IFERROR(__xludf.DUMMYFUNCTION("IMPORTRANGE(""https://docs.google.com/spreadsheets/d/1SX6NBoVAgQJ6U1MVXOaj8PK2l7WJ3RER9xtqwdhxkhw/edit?usp=sharing"",""ฉะเชิงเทรา!J330"")"),20.0)</f>
        <v>20</v>
      </c>
      <c r="K435" s="444">
        <f>IF(I435&gt;0,J435*100/I435,0)</f>
        <v>33.33333333</v>
      </c>
      <c r="L435" s="445">
        <f>IFERROR(__xludf.DUMMYFUNCTION("IMPORTRANGE(""https://docs.google.com/spreadsheets/d/1SX6NBoVAgQJ6U1MVXOaj8PK2l7WJ3RER9xtqwdhxkhw/edit?usp=sharing"",""ฉะเชิงเทรา!L330"")"),179000.0)</f>
        <v>179000</v>
      </c>
      <c r="M435" s="445"/>
      <c r="N435" s="445">
        <f>IFERROR(__xludf.DUMMYFUNCTION("IMPORTRANGE(""https://docs.google.com/spreadsheets/d/1SX6NBoVAgQJ6U1MVXOaj8PK2l7WJ3RER9xtqwdhxkhw/edit?usp=sharing"",""ฉะเชิงเทรา!M330"")"),48590.0)</f>
        <v>48590</v>
      </c>
      <c r="O435" s="445">
        <f t="shared" ref="O435:O439" si="115">+IF(L435&gt;0,N435*100/L435,0)</f>
        <v>27.1452514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IFERROR(__xludf.DUMMYFUNCTION("IMPORTRANGE(""https://docs.google.com/spreadsheets/d/1SX6NBoVAgQJ6U1MVXOaj8PK2l7WJ3RER9xtqwdhxkhw/edit?usp=sharing"",""ฉะเชิงเทรา!L331"")"),0.0)</f>
        <v>0</v>
      </c>
      <c r="M436" s="197"/>
      <c r="N436" s="203">
        <f>IFERROR(__xludf.DUMMYFUNCTION("IMPORTRANGE(""https://docs.google.com/spreadsheets/d/1SX6NBoVAgQJ6U1MVXOaj8PK2l7WJ3RER9xtqwdhxkhw/edit?usp=sharing"",""ฉะเชิงเทรา!M331"")"),0.0)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IFERROR(__xludf.DUMMYFUNCTION("IMPORTRANGE(""https://docs.google.com/spreadsheets/d/1SX6NBoVAgQJ6U1MVXOaj8PK2l7WJ3RER9xtqwdhxkhw/edit?usp=sharing"",""ฉะเชิงเทรา!L332"")"),179000.0)</f>
        <v>179000</v>
      </c>
      <c r="M437" s="198"/>
      <c r="N437" s="203">
        <f>IFERROR(__xludf.DUMMYFUNCTION("IMPORTRANGE(""https://docs.google.com/spreadsheets/d/1SX6NBoVAgQJ6U1MVXOaj8PK2l7WJ3RER9xtqwdhxkhw/edit?usp=sharing"",""ฉะเชิงเทรา!M332"")"),48590.0)</f>
        <v>48590</v>
      </c>
      <c r="O437" s="203">
        <f t="shared" si="115"/>
        <v>27.1452514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IFERROR(__xludf.DUMMYFUNCTION("IMPORTRANGE(""https://docs.google.com/spreadsheets/d/1SX6NBoVAgQJ6U1MVXOaj8PK2l7WJ3RER9xtqwdhxkhw/edit?usp=sharing"",""ฉะเชิงเทรา!L333"")"),0.0)</f>
        <v>0</v>
      </c>
      <c r="M438" s="203"/>
      <c r="N438" s="203">
        <f>IFERROR(__xludf.DUMMYFUNCTION("IMPORTRANGE(""https://docs.google.com/spreadsheets/d/1SX6NBoVAgQJ6U1MVXOaj8PK2l7WJ3RER9xtqwdhxkhw/edit?usp=sharing"",""ฉะเชิงเทรา!M333"")"),0.0)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IFERROR(__xludf.DUMMYFUNCTION("IMPORTRANGE(""https://docs.google.com/spreadsheets/d/1SX6NBoVAgQJ6U1MVXOaj8PK2l7WJ3RER9xtqwdhxkhw/edit?usp=sharing"",""ฉะเชิงเทรา!L334"")"),179000.0)</f>
        <v>179000</v>
      </c>
      <c r="M439" s="203"/>
      <c r="N439" s="203">
        <f>IFERROR(__xludf.DUMMYFUNCTION("IMPORTRANGE(""https://docs.google.com/spreadsheets/d/1SX6NBoVAgQJ6U1MVXOaj8PK2l7WJ3RER9xtqwdhxkhw/edit?usp=sharing"",""ฉะเชิงเทรา!M334"")"),48590.0)</f>
        <v>48590</v>
      </c>
      <c r="O439" s="203">
        <f t="shared" si="115"/>
        <v>27.1452514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IFERROR(__xludf.DUMMYFUNCTION("IMPORTRANGE(""https://docs.google.com/spreadsheets/d/1SX6NBoVAgQJ6U1MVXOaj8PK2l7WJ3RER9xtqwdhxkhw/edit?usp=sharing"",""ฉะเชิงเทรา!M335"")"),42800.0)</f>
        <v>42800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IFERROR(__xludf.DUMMYFUNCTION("IMPORTRANGE(""https://docs.google.com/spreadsheets/d/1SX6NBoVAgQJ6U1MVXOaj8PK2l7WJ3RER9xtqwdhxkhw/edit?usp=sharing"",""ฉะเชิงเทรา!M336"")"),0.0)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IFERROR(__xludf.DUMMYFUNCTION("IMPORTRANGE(""https://docs.google.com/spreadsheets/d/1SX6NBoVAgQJ6U1MVXOaj8PK2l7WJ3RER9xtqwdhxkhw/edit?usp=sharing"",""ฉะเชิงเทรา!M337"")"),0.0)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IFERROR(__xludf.DUMMYFUNCTION("IMPORTRANGE(""https://docs.google.com/spreadsheets/d/1SX6NBoVAgQJ6U1MVXOaj8PK2l7WJ3RER9xtqwdhxkhw/edit?usp=sharing"",""ฉะเชิงเทรา!M338"")"),5790.0)</f>
        <v>5790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 t="str">
        <f>IFERROR(__xludf.DUMMYFUNCTION("IMPORTRANGE(""https://docs.google.com/spreadsheets/d/1SX6NBoVAgQJ6U1MVXOaj8PK2l7WJ3RER9xtqwdhxkhw/edit?usp=sharing"",""ฉะเชิงเทรา!J340"")"),"")</f>
        <v/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IFERROR(__xludf.DUMMYFUNCTION("IMPORTRANGE(""https://docs.google.com/spreadsheets/d/1SX6NBoVAgQJ6U1MVXOaj8PK2l7WJ3RER9xtqwdhxkhw/edit?usp=sharing"",""ฉะเชิงเทรา!J341"")"),1.0)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IFERROR(__xludf.DUMMYFUNCTION("IMPORTRANGE(""https://docs.google.com/spreadsheets/d/1SX6NBoVAgQJ6U1MVXOaj8PK2l7WJ3RER9xtqwdhxkhw/edit?usp=sharing"",""ฉะเชิงเทรา!J342"")"),1.0)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IFERROR(__xludf.DUMMYFUNCTION("IMPORTRANGE(""https://docs.google.com/spreadsheets/d/1SX6NBoVAgQJ6U1MVXOaj8PK2l7WJ3RER9xtqwdhxkhw/edit?usp=sharing"",""ฉะเชิงเทรา!J343"")"),1.0)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IFERROR(__xludf.DUMMYFUNCTION("IMPORTRANGE(""https://docs.google.com/spreadsheets/d/1SX6NBoVAgQJ6U1MVXOaj8PK2l7WJ3RER9xtqwdhxkhw/edit?usp=sharing"",""ฉะเชิงเทรา!I344"")"),60.0)</f>
        <v>60</v>
      </c>
      <c r="J449" s="235">
        <f>IFERROR(__xludf.DUMMYFUNCTION("IMPORTRANGE(""https://docs.google.com/spreadsheets/d/1SX6NBoVAgQJ6U1MVXOaj8PK2l7WJ3RER9xtqwdhxkhw/edit?usp=sharing"",""ฉะเชิงเทรา!J344"")"),20.0)</f>
        <v>20</v>
      </c>
      <c r="K449" s="196">
        <f t="shared" ref="K449:K452" si="116">IF(I449&gt;0,J449*100/I449,0)</f>
        <v>33.33333333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IFERROR(__xludf.DUMMYFUNCTION("IMPORTRANGE(""https://docs.google.com/spreadsheets/d/1SX6NBoVAgQJ6U1MVXOaj8PK2l7WJ3RER9xtqwdhxkhw/edit?usp=sharing"",""ฉะเชิงเทรา!I345"")"),40.0)</f>
        <v>40</v>
      </c>
      <c r="J450" s="223">
        <f>IFERROR(__xludf.DUMMYFUNCTION("IMPORTRANGE(""https://docs.google.com/spreadsheets/d/1SX6NBoVAgQJ6U1MVXOaj8PK2l7WJ3RER9xtqwdhxkhw/edit?usp=sharing"",""ฉะเชิงเทรา!J345"")"),0.0)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IFERROR(__xludf.DUMMYFUNCTION("IMPORTRANGE(""https://docs.google.com/spreadsheets/d/1SX6NBoVAgQJ6U1MVXOaj8PK2l7WJ3RER9xtqwdhxkhw/edit?usp=sharing"",""ฉะเชิงเทรา!I346"")"),20.0)</f>
        <v>20</v>
      </c>
      <c r="J451" s="222">
        <f>IFERROR(__xludf.DUMMYFUNCTION("IMPORTRANGE(""https://docs.google.com/spreadsheets/d/1SX6NBoVAgQJ6U1MVXOaj8PK2l7WJ3RER9xtqwdhxkhw/edit?usp=sharing"",""ฉะเชิงเทรา!J346"")"),20.0)</f>
        <v>20</v>
      </c>
      <c r="K451" s="196">
        <f t="shared" si="116"/>
        <v>100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IFERROR(__xludf.DUMMYFUNCTION("IMPORTRANGE(""https://docs.google.com/spreadsheets/d/1SX6NBoVAgQJ6U1MVXOaj8PK2l7WJ3RER9xtqwdhxkhw/edit?usp=sharing"",""ฉะเชิงเทรา!I347"")"),0.0)</f>
        <v>0</v>
      </c>
      <c r="J452" s="222">
        <f>IFERROR(__xludf.DUMMYFUNCTION("IMPORTRANGE(""https://docs.google.com/spreadsheets/d/1SX6NBoVAgQJ6U1MVXOaj8PK2l7WJ3RER9xtqwdhxkhw/edit?usp=sharing"",""ฉะเชิงเทรา!J347"")"),0.0)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IFERROR(__xludf.DUMMYFUNCTION("IMPORTRANGE(""https://docs.google.com/spreadsheets/d/1SX6NBoVAgQJ6U1MVXOaj8PK2l7WJ3RER9xtqwdhxkhw/edit?usp=sharing"",""ฉะเชิงเทรา!J348"")"),0.0)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IFERROR(__xludf.DUMMYFUNCTION("IMPORTRANGE(""https://docs.google.com/spreadsheets/d/1SX6NBoVAgQJ6U1MVXOaj8PK2l7WJ3RER9xtqwdhxkhw/edit?usp=sharing"",""ฉะเชิงเทรา!J349"")"),0.0)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IFERROR(__xludf.DUMMYFUNCTION("IMPORTRANGE(""https://docs.google.com/spreadsheets/d/1SX6NBoVAgQJ6U1MVXOaj8PK2l7WJ3RER9xtqwdhxkhw/edit?usp=sharing"",""ฉะเชิงเทรา!I350"")"),24191.0)</f>
        <v>24191</v>
      </c>
      <c r="J455" s="404">
        <f>IFERROR(__xludf.DUMMYFUNCTION("IMPORTRANGE(""https://docs.google.com/spreadsheets/d/1SX6NBoVAgQJ6U1MVXOaj8PK2l7WJ3RER9xtqwdhxkhw/edit?usp=sharing"",""ฉะเชิงเทรา!J350"")"),0.0)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IFERROR(__xludf.DUMMYFUNCTION("IMPORTRANGE(""https://docs.google.com/spreadsheets/d/1SX6NBoVAgQJ6U1MVXOaj8PK2l7WJ3RER9xtqwdhxkhw/edit?usp=sharing"",""ฉะเชิงเทรา!L350"")"),369379.0)</f>
        <v>369379</v>
      </c>
      <c r="M455" s="406"/>
      <c r="N455" s="406">
        <f>IFERROR(__xludf.DUMMYFUNCTION("IMPORTRANGE(""https://docs.google.com/spreadsheets/d/1SX6NBoVAgQJ6U1MVXOaj8PK2l7WJ3RER9xtqwdhxkhw/edit?usp=sharing"",""ฉะเชิงเทรา!M350"")"),0.0)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IFERROR(__xludf.DUMMYFUNCTION("IMPORTRANGE(""https://docs.google.com/spreadsheets/d/1SX6NBoVAgQJ6U1MVXOaj8PK2l7WJ3RER9xtqwdhxkhw/edit?usp=sharing"",""ฉะเชิงเทรา!L351"")"),0.0)</f>
        <v>0</v>
      </c>
      <c r="M456" s="197"/>
      <c r="N456" s="203">
        <f>IFERROR(__xludf.DUMMYFUNCTION("IMPORTRANGE(""https://docs.google.com/spreadsheets/d/1SX6NBoVAgQJ6U1MVXOaj8PK2l7WJ3RER9xtqwdhxkhw/edit?usp=sharing"",""ฉะเชิงเทรา!M351"")"),0.0)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IFERROR(__xludf.DUMMYFUNCTION("IMPORTRANGE(""https://docs.google.com/spreadsheets/d/1SX6NBoVAgQJ6U1MVXOaj8PK2l7WJ3RER9xtqwdhxkhw/edit?usp=sharing"",""ฉะเชิงเทรา!L352"")"),369379.0)</f>
        <v>369379</v>
      </c>
      <c r="M457" s="198"/>
      <c r="N457" s="203">
        <f>IFERROR(__xludf.DUMMYFUNCTION("IMPORTRANGE(""https://docs.google.com/spreadsheets/d/1SX6NBoVAgQJ6U1MVXOaj8PK2l7WJ3RER9xtqwdhxkhw/edit?usp=sharing"",""ฉะเชิงเทรา!M352"")"),0.0)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IFERROR(__xludf.DUMMYFUNCTION("IMPORTRANGE(""https://docs.google.com/spreadsheets/d/1SX6NBoVAgQJ6U1MVXOaj8PK2l7WJ3RER9xtqwdhxkhw/edit?usp=sharing"",""ฉะเชิงเทรา!L353"")"),0.0)</f>
        <v>0</v>
      </c>
      <c r="M458" s="203"/>
      <c r="N458" s="203">
        <f>IFERROR(__xludf.DUMMYFUNCTION("IMPORTRANGE(""https://docs.google.com/spreadsheets/d/1SX6NBoVAgQJ6U1MVXOaj8PK2l7WJ3RER9xtqwdhxkhw/edit?usp=sharing"",""ฉะเชิงเทรา!M353"")"),0.0)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IFERROR(__xludf.DUMMYFUNCTION("IMPORTRANGE(""https://docs.google.com/spreadsheets/d/1SX6NBoVAgQJ6U1MVXOaj8PK2l7WJ3RER9xtqwdhxkhw/edit?usp=sharing"",""ฉะเชิงเทรา!L354"")"),369379.0)</f>
        <v>369379</v>
      </c>
      <c r="M459" s="203"/>
      <c r="N459" s="203">
        <f>IFERROR(__xludf.DUMMYFUNCTION("IMPORTRANGE(""https://docs.google.com/spreadsheets/d/1SX6NBoVAgQJ6U1MVXOaj8PK2l7WJ3RER9xtqwdhxkhw/edit?usp=sharing"",""ฉะเชิงเทรา!M354"")"),0.0)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IFERROR(__xludf.DUMMYFUNCTION("IMPORTRANGE(""https://docs.google.com/spreadsheets/d/1SX6NBoVAgQJ6U1MVXOaj8PK2l7WJ3RER9xtqwdhxkhw/edit?usp=sharing"",""ฉะเชิงเทรา!M355"")"),0.0)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IFERROR(__xludf.DUMMYFUNCTION("IMPORTRANGE(""https://docs.google.com/spreadsheets/d/1SX6NBoVAgQJ6U1MVXOaj8PK2l7WJ3RER9xtqwdhxkhw/edit?usp=sharing"",""ฉะเชิงเทรา!M356"")"),0.0)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IFERROR(__xludf.DUMMYFUNCTION("IMPORTRANGE(""https://docs.google.com/spreadsheets/d/1SX6NBoVAgQJ6U1MVXOaj8PK2l7WJ3RER9xtqwdhxkhw/edit?usp=sharing"",""ฉะเชิงเทรา!M357"")"),0.0)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IFERROR(__xludf.DUMMYFUNCTION("IMPORTRANGE(""https://docs.google.com/spreadsheets/d/1SX6NBoVAgQJ6U1MVXOaj8PK2l7WJ3RER9xtqwdhxkhw/edit?usp=sharing"",""ฉะเชิงเทรา!M358"")"),0.0)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IFERROR(__xludf.DUMMYFUNCTION("IMPORTRANGE(""https://docs.google.com/spreadsheets/d/1SX6NBoVAgQJ6U1MVXOaj8PK2l7WJ3RER9xtqwdhxkhw/edit?usp=sharing"",""ฉะเชิงเทรา!I359"")"),24191.0)</f>
        <v>24191</v>
      </c>
      <c r="J464" s="301">
        <f>IFERROR(__xludf.DUMMYFUNCTION("IMPORTRANGE(""https://docs.google.com/spreadsheets/d/1SX6NBoVAgQJ6U1MVXOaj8PK2l7WJ3RER9xtqwdhxkhw/edit?usp=sharing"",""ฉะเชิงเทรา!J359"")"),0.0)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IFERROR(__xludf.DUMMYFUNCTION("IMPORTRANGE(""https://docs.google.com/spreadsheets/d/1SX6NBoVAgQJ6U1MVXOaj8PK2l7WJ3RER9xtqwdhxkhw/edit?usp=sharing"",""ฉะเชิงเทรา!I360"")"),24191.0)</f>
        <v>24191</v>
      </c>
      <c r="J465" s="453">
        <f>IFERROR(__xludf.DUMMYFUNCTION("IMPORTRANGE(""https://docs.google.com/spreadsheets/d/1SX6NBoVAgQJ6U1MVXOaj8PK2l7WJ3RER9xtqwdhxkhw/edit?usp=sharing"",""ฉะเชิงเทรา!J360"")"),0.0)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IFERROR(__xludf.DUMMYFUNCTION("IMPORTRANGE(""https://docs.google.com/spreadsheets/d/1SX6NBoVAgQJ6U1MVXOaj8PK2l7WJ3RER9xtqwdhxkhw/edit?usp=sharing"",""ฉะเชิงเทรา!I361"")"),2367.0)</f>
        <v>2367</v>
      </c>
      <c r="J466" s="453">
        <f>IFERROR(__xludf.DUMMYFUNCTION("IMPORTRANGE(""https://docs.google.com/spreadsheets/d/1SX6NBoVAgQJ6U1MVXOaj8PK2l7WJ3RER9xtqwdhxkhw/edit?usp=sharing"",""ฉะเชิงเทรา!J361"")"),0.0)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IFERROR(__xludf.DUMMYFUNCTION("IMPORTRANGE(""https://docs.google.com/spreadsheets/d/1SX6NBoVAgQJ6U1MVXOaj8PK2l7WJ3RER9xtqwdhxkhw/edit?usp=sharing"",""ฉะเชิงเทรา!I362"")"),0.0)</f>
        <v>0</v>
      </c>
      <c r="J467" s="223">
        <f>IFERROR(__xludf.DUMMYFUNCTION("IMPORTRANGE(""https://docs.google.com/spreadsheets/d/1SX6NBoVAgQJ6U1MVXOaj8PK2l7WJ3RER9xtqwdhxkhw/edit?usp=sharing"",""ฉะเชิงเทรา!J362"")"),0.0)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IFERROR(__xludf.DUMMYFUNCTION("IMPORTRANGE(""https://docs.google.com/spreadsheets/d/1SX6NBoVAgQJ6U1MVXOaj8PK2l7WJ3RER9xtqwdhxkhw/edit?usp=sharing"",""ฉะเชิงเทรา!I363"")"),0.0)</f>
        <v>0</v>
      </c>
      <c r="J468" s="223">
        <f>IFERROR(__xludf.DUMMYFUNCTION("IMPORTRANGE(""https://docs.google.com/spreadsheets/d/1SX6NBoVAgQJ6U1MVXOaj8PK2l7WJ3RER9xtqwdhxkhw/edit?usp=sharing"",""ฉะเชิงเทรา!J363"")"),0.0)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IFERROR(__xludf.DUMMYFUNCTION("IMPORTRANGE(""https://docs.google.com/spreadsheets/d/1SX6NBoVAgQJ6U1MVXOaj8PK2l7WJ3RER9xtqwdhxkhw/edit?usp=sharing"",""ฉะเชิงเทรา!I364"")"),0.0)</f>
        <v>0</v>
      </c>
      <c r="J469" s="223">
        <f>IFERROR(__xludf.DUMMYFUNCTION("IMPORTRANGE(""https://docs.google.com/spreadsheets/d/1SX6NBoVAgQJ6U1MVXOaj8PK2l7WJ3RER9xtqwdhxkhw/edit?usp=sharing"",""ฉะเชิงเทรา!J364"")"),0.0)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IFERROR(__xludf.DUMMYFUNCTION("IMPORTRANGE(""https://docs.google.com/spreadsheets/d/1SX6NBoVAgQJ6U1MVXOaj8PK2l7WJ3RER9xtqwdhxkhw/edit?usp=sharing"",""ฉะเชิงเทรา!I365"")"),0.0)</f>
        <v>0</v>
      </c>
      <c r="J470" s="223">
        <f>IFERROR(__xludf.DUMMYFUNCTION("IMPORTRANGE(""https://docs.google.com/spreadsheets/d/1SX6NBoVAgQJ6U1MVXOaj8PK2l7WJ3RER9xtqwdhxkhw/edit?usp=sharing"",""ฉะเชิงเทรา!J365"")"),0.0)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IFERROR(__xludf.DUMMYFUNCTION("IMPORTRANGE(""https://docs.google.com/spreadsheets/d/1SX6NBoVAgQJ6U1MVXOaj8PK2l7WJ3RER9xtqwdhxkhw/edit?usp=sharing"",""ฉะเชิงเทรา!I366"")"),0.0)</f>
        <v>0</v>
      </c>
      <c r="J471" s="223">
        <f>IFERROR(__xludf.DUMMYFUNCTION("IMPORTRANGE(""https://docs.google.com/spreadsheets/d/1SX6NBoVAgQJ6U1MVXOaj8PK2l7WJ3RER9xtqwdhxkhw/edit?usp=sharing"",""ฉะเชิงเทรา!J366"")"),0.0)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IFERROR(__xludf.DUMMYFUNCTION("IMPORTRANGE(""https://docs.google.com/spreadsheets/d/1SX6NBoVAgQJ6U1MVXOaj8PK2l7WJ3RER9xtqwdhxkhw/edit?usp=sharing"",""ฉะเชิงเทรา!I367"")"),0.0)</f>
        <v>0</v>
      </c>
      <c r="J472" s="223">
        <f>IFERROR(__xludf.DUMMYFUNCTION("IMPORTRANGE(""https://docs.google.com/spreadsheets/d/1SX6NBoVAgQJ6U1MVXOaj8PK2l7WJ3RER9xtqwdhxkhw/edit?usp=sharing"",""ฉะเชิงเทรา!J367"")"),0.0)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IFERROR(__xludf.DUMMYFUNCTION("IMPORTRANGE(""https://docs.google.com/spreadsheets/d/1SX6NBoVAgQJ6U1MVXOaj8PK2l7WJ3RER9xtqwdhxkhw/edit?usp=sharing"",""ฉะเชิงเทรา!I368"")"),24191.0)</f>
        <v>24191</v>
      </c>
      <c r="J473" s="453">
        <f>IFERROR(__xludf.DUMMYFUNCTION("IMPORTRANGE(""https://docs.google.com/spreadsheets/d/1SX6NBoVAgQJ6U1MVXOaj8PK2l7WJ3RER9xtqwdhxkhw/edit?usp=sharing"",""ฉะเชิงเทรา!J368"")"),0.0)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IFERROR(__xludf.DUMMYFUNCTION("IMPORTRANGE(""https://docs.google.com/spreadsheets/d/1SX6NBoVAgQJ6U1MVXOaj8PK2l7WJ3RER9xtqwdhxkhw/edit?usp=sharing"",""ฉะเชิงเทรา!I369"")"),2367.0)</f>
        <v>2367</v>
      </c>
      <c r="J474" s="453">
        <f>IFERROR(__xludf.DUMMYFUNCTION("IMPORTRANGE(""https://docs.google.com/spreadsheets/d/1SX6NBoVAgQJ6U1MVXOaj8PK2l7WJ3RER9xtqwdhxkhw/edit?usp=sharing"",""ฉะเชิงเทรา!J369"")"),0.0)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IFERROR(__xludf.DUMMYFUNCTION("IMPORTRANGE(""https://docs.google.com/spreadsheets/d/1SX6NBoVAgQJ6U1MVXOaj8PK2l7WJ3RER9xtqwdhxkhw/edit?usp=sharing"",""ฉะเชิงเทรา!I370"")"),0.0)</f>
        <v>0</v>
      </c>
      <c r="J475" s="223">
        <f>IFERROR(__xludf.DUMMYFUNCTION("IMPORTRANGE(""https://docs.google.com/spreadsheets/d/1SX6NBoVAgQJ6U1MVXOaj8PK2l7WJ3RER9xtqwdhxkhw/edit?usp=sharing"",""ฉะเชิงเทรา!J370"")"),0.0)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IFERROR(__xludf.DUMMYFUNCTION("IMPORTRANGE(""https://docs.google.com/spreadsheets/d/1SX6NBoVAgQJ6U1MVXOaj8PK2l7WJ3RER9xtqwdhxkhw/edit?usp=sharing"",""ฉะเชิงเทรา!I371"")"),0.0)</f>
        <v>0</v>
      </c>
      <c r="J476" s="223">
        <f>IFERROR(__xludf.DUMMYFUNCTION("IMPORTRANGE(""https://docs.google.com/spreadsheets/d/1SX6NBoVAgQJ6U1MVXOaj8PK2l7WJ3RER9xtqwdhxkhw/edit?usp=sharing"",""ฉะเชิงเทรา!J371"")"),0.0)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IFERROR(__xludf.DUMMYFUNCTION("IMPORTRANGE(""https://docs.google.com/spreadsheets/d/1SX6NBoVAgQJ6U1MVXOaj8PK2l7WJ3RER9xtqwdhxkhw/edit?usp=sharing"",""ฉะเชิงเทรา!I372"")"),0.0)</f>
        <v>0</v>
      </c>
      <c r="J477" s="223">
        <f>IFERROR(__xludf.DUMMYFUNCTION("IMPORTRANGE(""https://docs.google.com/spreadsheets/d/1SX6NBoVAgQJ6U1MVXOaj8PK2l7WJ3RER9xtqwdhxkhw/edit?usp=sharing"",""ฉะเชิงเทรา!J372"")"),0.0)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IFERROR(__xludf.DUMMYFUNCTION("IMPORTRANGE(""https://docs.google.com/spreadsheets/d/1SX6NBoVAgQJ6U1MVXOaj8PK2l7WJ3RER9xtqwdhxkhw/edit?usp=sharing"",""ฉะเชิงเทรา!I373"")"),0.0)</f>
        <v>0</v>
      </c>
      <c r="J478" s="223">
        <f>IFERROR(__xludf.DUMMYFUNCTION("IMPORTRANGE(""https://docs.google.com/spreadsheets/d/1SX6NBoVAgQJ6U1MVXOaj8PK2l7WJ3RER9xtqwdhxkhw/edit?usp=sharing"",""ฉะเชิงเทรา!J373"")"),0.0)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IFERROR(__xludf.DUMMYFUNCTION("IMPORTRANGE(""https://docs.google.com/spreadsheets/d/1SX6NBoVAgQJ6U1MVXOaj8PK2l7WJ3RER9xtqwdhxkhw/edit?usp=sharing"",""ฉะเชิงเทรา!I374"")"),0.0)</f>
        <v>0</v>
      </c>
      <c r="J479" s="223">
        <f>IFERROR(__xludf.DUMMYFUNCTION("IMPORTRANGE(""https://docs.google.com/spreadsheets/d/1SX6NBoVAgQJ6U1MVXOaj8PK2l7WJ3RER9xtqwdhxkhw/edit?usp=sharing"",""ฉะเชิงเทรา!J374"")"),0.0)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IFERROR(__xludf.DUMMYFUNCTION("IMPORTRANGE(""https://docs.google.com/spreadsheets/d/1SX6NBoVAgQJ6U1MVXOaj8PK2l7WJ3RER9xtqwdhxkhw/edit?usp=sharing"",""ฉะเชิงเทรา!I375"")"),0.0)</f>
        <v>0</v>
      </c>
      <c r="J480" s="223">
        <f>IFERROR(__xludf.DUMMYFUNCTION("IMPORTRANGE(""https://docs.google.com/spreadsheets/d/1SX6NBoVAgQJ6U1MVXOaj8PK2l7WJ3RER9xtqwdhxkhw/edit?usp=sharing"",""ฉะเชิงเทรา!J375"")"),0.0)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IFERROR(__xludf.DUMMYFUNCTION("IMPORTRANGE(""https://docs.google.com/spreadsheets/d/1SX6NBoVAgQJ6U1MVXOaj8PK2l7WJ3RER9xtqwdhxkhw/edit?usp=sharing"",""ฉะเชิงเทรา!I376"")"),24191.0)</f>
        <v>24191</v>
      </c>
      <c r="J481" s="453">
        <f>IFERROR(__xludf.DUMMYFUNCTION("IMPORTRANGE(""https://docs.google.com/spreadsheets/d/1SX6NBoVAgQJ6U1MVXOaj8PK2l7WJ3RER9xtqwdhxkhw/edit?usp=sharing"",""ฉะเชิงเทรา!J376"")"),0.0)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IFERROR(__xludf.DUMMYFUNCTION("IMPORTRANGE(""https://docs.google.com/spreadsheets/d/1SX6NBoVAgQJ6U1MVXOaj8PK2l7WJ3RER9xtqwdhxkhw/edit?usp=sharing"",""ฉะเชิงเทรา!I377"")"),2367.0)</f>
        <v>2367</v>
      </c>
      <c r="J482" s="453">
        <f>IFERROR(__xludf.DUMMYFUNCTION("IMPORTRANGE(""https://docs.google.com/spreadsheets/d/1SX6NBoVAgQJ6U1MVXOaj8PK2l7WJ3RER9xtqwdhxkhw/edit?usp=sharing"",""ฉะเชิงเทรา!J377"")"),0.0)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IFERROR(__xludf.DUMMYFUNCTION("IMPORTRANGE(""https://docs.google.com/spreadsheets/d/1SX6NBoVAgQJ6U1MVXOaj8PK2l7WJ3RER9xtqwdhxkhw/edit?usp=sharing"",""ฉะเชิงเทรา!I378"")"),0.0)</f>
        <v>0</v>
      </c>
      <c r="J483" s="223">
        <f>IFERROR(__xludf.DUMMYFUNCTION("IMPORTRANGE(""https://docs.google.com/spreadsheets/d/1SX6NBoVAgQJ6U1MVXOaj8PK2l7WJ3RER9xtqwdhxkhw/edit?usp=sharing"",""ฉะเชิงเทรา!J378"")"),0.0)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IFERROR(__xludf.DUMMYFUNCTION("IMPORTRANGE(""https://docs.google.com/spreadsheets/d/1SX6NBoVAgQJ6U1MVXOaj8PK2l7WJ3RER9xtqwdhxkhw/edit?usp=sharing"",""ฉะเชิงเทรา!I379"")"),0.0)</f>
        <v>0</v>
      </c>
      <c r="J484" s="223">
        <f>IFERROR(__xludf.DUMMYFUNCTION("IMPORTRANGE(""https://docs.google.com/spreadsheets/d/1SX6NBoVAgQJ6U1MVXOaj8PK2l7WJ3RER9xtqwdhxkhw/edit?usp=sharing"",""ฉะเชิงเทรา!J379"")"),0.0)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IFERROR(__xludf.DUMMYFUNCTION("IMPORTRANGE(""https://docs.google.com/spreadsheets/d/1SX6NBoVAgQJ6U1MVXOaj8PK2l7WJ3RER9xtqwdhxkhw/edit?usp=sharing"",""ฉะเชิงเทรา!I380"")"),0.0)</f>
        <v>0</v>
      </c>
      <c r="J485" s="223">
        <f>IFERROR(__xludf.DUMMYFUNCTION("IMPORTRANGE(""https://docs.google.com/spreadsheets/d/1SX6NBoVAgQJ6U1MVXOaj8PK2l7WJ3RER9xtqwdhxkhw/edit?usp=sharing"",""ฉะเชิงเทรา!J380"")"),0.0)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IFERROR(__xludf.DUMMYFUNCTION("IMPORTRANGE(""https://docs.google.com/spreadsheets/d/1SX6NBoVAgQJ6U1MVXOaj8PK2l7WJ3RER9xtqwdhxkhw/edit?usp=sharing"",""ฉะเชิงเทรา!I381"")"),0.0)</f>
        <v>0</v>
      </c>
      <c r="J486" s="223">
        <f>IFERROR(__xludf.DUMMYFUNCTION("IMPORTRANGE(""https://docs.google.com/spreadsheets/d/1SX6NBoVAgQJ6U1MVXOaj8PK2l7WJ3RER9xtqwdhxkhw/edit?usp=sharing"",""ฉะเชิงเทรา!J381"")"),0.0)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IFERROR(__xludf.DUMMYFUNCTION("IMPORTRANGE(""https://docs.google.com/spreadsheets/d/1SX6NBoVAgQJ6U1MVXOaj8PK2l7WJ3RER9xtqwdhxkhw/edit?usp=sharing"",""ฉะเชิงเทรา!I382"")"),0.0)</f>
        <v>0</v>
      </c>
      <c r="J487" s="453">
        <f>IFERROR(__xludf.DUMMYFUNCTION("IMPORTRANGE(""https://docs.google.com/spreadsheets/d/1SX6NBoVAgQJ6U1MVXOaj8PK2l7WJ3RER9xtqwdhxkhw/edit?usp=sharing"",""ฉะเชิงเทรา!J382"")"),0.0)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IFERROR(__xludf.DUMMYFUNCTION("IMPORTRANGE(""https://docs.google.com/spreadsheets/d/1SX6NBoVAgQJ6U1MVXOaj8PK2l7WJ3RER9xtqwdhxkhw/edit?usp=sharing"",""ฉะเชิงเทรา!I383"")"),0.0)</f>
        <v>0</v>
      </c>
      <c r="J488" s="453">
        <f>IFERROR(__xludf.DUMMYFUNCTION("IMPORTRANGE(""https://docs.google.com/spreadsheets/d/1SX6NBoVAgQJ6U1MVXOaj8PK2l7WJ3RER9xtqwdhxkhw/edit?usp=sharing"",""ฉะเชิงเทรา!J383"")"),0.0)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IFERROR(__xludf.DUMMYFUNCTION("IMPORTRANGE(""https://docs.google.com/spreadsheets/d/1SX6NBoVAgQJ6U1MVXOaj8PK2l7WJ3RER9xtqwdhxkhw/edit?usp=sharing"",""ฉะเชิงเทรา!I384"")"),0.0)</f>
        <v>0</v>
      </c>
      <c r="J489" s="223">
        <f>IFERROR(__xludf.DUMMYFUNCTION("IMPORTRANGE(""https://docs.google.com/spreadsheets/d/1SX6NBoVAgQJ6U1MVXOaj8PK2l7WJ3RER9xtqwdhxkhw/edit?usp=sharing"",""ฉะเชิงเทรา!J384"")"),0.0)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IFERROR(__xludf.DUMMYFUNCTION("IMPORTRANGE(""https://docs.google.com/spreadsheets/d/1SX6NBoVAgQJ6U1MVXOaj8PK2l7WJ3RER9xtqwdhxkhw/edit?usp=sharing"",""ฉะเชิงเทรา!I385"")"),0.0)</f>
        <v>0</v>
      </c>
      <c r="J490" s="223">
        <f>IFERROR(__xludf.DUMMYFUNCTION("IMPORTRANGE(""https://docs.google.com/spreadsheets/d/1SX6NBoVAgQJ6U1MVXOaj8PK2l7WJ3RER9xtqwdhxkhw/edit?usp=sharing"",""ฉะเชิงเทรา!J385"")"),0.0)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IFERROR(__xludf.DUMMYFUNCTION("IMPORTRANGE(""https://docs.google.com/spreadsheets/d/1SX6NBoVAgQJ6U1MVXOaj8PK2l7WJ3RER9xtqwdhxkhw/edit?usp=sharing"",""ฉะเชิงเทรา!I386"")"),0.0)</f>
        <v>0</v>
      </c>
      <c r="J491" s="223">
        <f>IFERROR(__xludf.DUMMYFUNCTION("IMPORTRANGE(""https://docs.google.com/spreadsheets/d/1SX6NBoVAgQJ6U1MVXOaj8PK2l7WJ3RER9xtqwdhxkhw/edit?usp=sharing"",""ฉะเชิงเทรา!J386"")"),0.0)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IFERROR(__xludf.DUMMYFUNCTION("IMPORTRANGE(""https://docs.google.com/spreadsheets/d/1SX6NBoVAgQJ6U1MVXOaj8PK2l7WJ3RER9xtqwdhxkhw/edit?usp=sharing"",""ฉะเชิงเทรา!I387"")"),0.0)</f>
        <v>0</v>
      </c>
      <c r="J492" s="223">
        <f>IFERROR(__xludf.DUMMYFUNCTION("IMPORTRANGE(""https://docs.google.com/spreadsheets/d/1SX6NBoVAgQJ6U1MVXOaj8PK2l7WJ3RER9xtqwdhxkhw/edit?usp=sharing"",""ฉะเชิงเทรา!J387"")"),0.0)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IFERROR(__xludf.DUMMYFUNCTION("IMPORTRANGE(""https://docs.google.com/spreadsheets/d/1SX6NBoVAgQJ6U1MVXOaj8PK2l7WJ3RER9xtqwdhxkhw/edit?usp=sharing"",""ฉะเชิงเทรา!I388"")"),0.0)</f>
        <v>0</v>
      </c>
      <c r="J493" s="223">
        <f>IFERROR(__xludf.DUMMYFUNCTION("IMPORTRANGE(""https://docs.google.com/spreadsheets/d/1SX6NBoVAgQJ6U1MVXOaj8PK2l7WJ3RER9xtqwdhxkhw/edit?usp=sharing"",""ฉะเชิงเทรา!J388"")"),0.0)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IFERROR(__xludf.DUMMYFUNCTION("IMPORTRANGE(""https://docs.google.com/spreadsheets/d/1SX6NBoVAgQJ6U1MVXOaj8PK2l7WJ3RER9xtqwdhxkhw/edit?usp=sharing"",""ฉะเชิงเทรา!I389"")"),0.0)</f>
        <v>0</v>
      </c>
      <c r="J494" s="469">
        <f>IFERROR(__xludf.DUMMYFUNCTION("IMPORTRANGE(""https://docs.google.com/spreadsheets/d/1SX6NBoVAgQJ6U1MVXOaj8PK2l7WJ3RER9xtqwdhxkhw/edit?usp=sharing"",""ฉะเชิงเทรา!J389"")"),0.0)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IFERROR(__xludf.DUMMYFUNCTION("IMPORTRANGE(""https://docs.google.com/spreadsheets/d/1SX6NBoVAgQJ6U1MVXOaj8PK2l7WJ3RER9xtqwdhxkhw/edit?usp=sharing"",""ฉะเชิงเทรา!I390"")"),0.0)</f>
        <v>0</v>
      </c>
      <c r="J495" s="469">
        <f>IFERROR(__xludf.DUMMYFUNCTION("IMPORTRANGE(""https://docs.google.com/spreadsheets/d/1SX6NBoVAgQJ6U1MVXOaj8PK2l7WJ3RER9xtqwdhxkhw/edit?usp=sharing"",""ฉะเชิงเทรา!J390"")"),0.0)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IFERROR(__xludf.DUMMYFUNCTION("IMPORTRANGE(""https://docs.google.com/spreadsheets/d/1SX6NBoVAgQJ6U1MVXOaj8PK2l7WJ3RER9xtqwdhxkhw/edit?usp=sharing"",""ฉะเชิงเทรา!I391"")"),0.0)</f>
        <v>0</v>
      </c>
      <c r="J496" s="469">
        <f>IFERROR(__xludf.DUMMYFUNCTION("IMPORTRANGE(""https://docs.google.com/spreadsheets/d/1SX6NBoVAgQJ6U1MVXOaj8PK2l7WJ3RER9xtqwdhxkhw/edit?usp=sharing"",""ฉะเชิงเทรา!J391"")"),0.0)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IFERROR(__xludf.DUMMYFUNCTION("IMPORTRANGE(""https://docs.google.com/spreadsheets/d/1SX6NBoVAgQJ6U1MVXOaj8PK2l7WJ3RER9xtqwdhxkhw/edit?usp=sharing"",""ฉะเชิงเทรา!I392"")"),1333.0)</f>
        <v>1333</v>
      </c>
      <c r="J497" s="476">
        <f>IFERROR(__xludf.DUMMYFUNCTION("IMPORTRANGE(""https://docs.google.com/spreadsheets/d/1SX6NBoVAgQJ6U1MVXOaj8PK2l7WJ3RER9xtqwdhxkhw/edit?usp=sharing"",""ฉะเชิงเทรา!J392"")"),0.0)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IFERROR(__xludf.DUMMYFUNCTION("IMPORTRANGE(""https://docs.google.com/spreadsheets/d/1SX6NBoVAgQJ6U1MVXOaj8PK2l7WJ3RER9xtqwdhxkhw/edit?usp=sharing"",""ฉะเชิงเทรา!I393"")"),1333.0)</f>
        <v>1333</v>
      </c>
      <c r="J498" s="453">
        <f>IFERROR(__xludf.DUMMYFUNCTION("IMPORTRANGE(""https://docs.google.com/spreadsheets/d/1SX6NBoVAgQJ6U1MVXOaj8PK2l7WJ3RER9xtqwdhxkhw/edit?usp=sharing"",""ฉะเชิงเทรา!J393"")"),0.0)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IFERROR(__xludf.DUMMYFUNCTION("IMPORTRANGE(""https://docs.google.com/spreadsheets/d/1SX6NBoVAgQJ6U1MVXOaj8PK2l7WJ3RER9xtqwdhxkhw/edit?usp=sharing"",""ฉะเชิงเทรา!I394"")"),120.0)</f>
        <v>120</v>
      </c>
      <c r="J499" s="453">
        <f>IFERROR(__xludf.DUMMYFUNCTION("IMPORTRANGE(""https://docs.google.com/spreadsheets/d/1SX6NBoVAgQJ6U1MVXOaj8PK2l7WJ3RER9xtqwdhxkhw/edit?usp=sharing"",""ฉะเชิงเทรา!J394"")"),0.0)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IFERROR(__xludf.DUMMYFUNCTION("IMPORTRANGE(""https://docs.google.com/spreadsheets/d/1SX6NBoVAgQJ6U1MVXOaj8PK2l7WJ3RER9xtqwdhxkhw/edit?usp=sharing"",""ฉะเชิงเทรา!I395"")"),0.0)</f>
        <v>0</v>
      </c>
      <c r="J500" s="195">
        <f>IFERROR(__xludf.DUMMYFUNCTION("IMPORTRANGE(""https://docs.google.com/spreadsheets/d/1SX6NBoVAgQJ6U1MVXOaj8PK2l7WJ3RER9xtqwdhxkhw/edit?usp=sharing"",""ฉะเชิงเทรา!J395"")"),0.0)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IFERROR(__xludf.DUMMYFUNCTION("IMPORTRANGE(""https://docs.google.com/spreadsheets/d/1SX6NBoVAgQJ6U1MVXOaj8PK2l7WJ3RER9xtqwdhxkhw/edit?usp=sharing"",""ฉะเชิงเทรา!I396"")"),0.0)</f>
        <v>0</v>
      </c>
      <c r="J501" s="195">
        <f>IFERROR(__xludf.DUMMYFUNCTION("IMPORTRANGE(""https://docs.google.com/spreadsheets/d/1SX6NBoVAgQJ6U1MVXOaj8PK2l7WJ3RER9xtqwdhxkhw/edit?usp=sharing"",""ฉะเชิงเทรา!J396"")"),0.0)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IFERROR(__xludf.DUMMYFUNCTION("IMPORTRANGE(""https://docs.google.com/spreadsheets/d/1SX6NBoVAgQJ6U1MVXOaj8PK2l7WJ3RER9xtqwdhxkhw/edit?usp=sharing"",""ฉะเชิงเทรา!I397"")"),0.0)</f>
        <v>0</v>
      </c>
      <c r="J502" s="223">
        <f>IFERROR(__xludf.DUMMYFUNCTION("IMPORTRANGE(""https://docs.google.com/spreadsheets/d/1SX6NBoVAgQJ6U1MVXOaj8PK2l7WJ3RER9xtqwdhxkhw/edit?usp=sharing"",""ฉะเชิงเทรา!J397"")"),0.0)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IFERROR(__xludf.DUMMYFUNCTION("IMPORTRANGE(""https://docs.google.com/spreadsheets/d/1SX6NBoVAgQJ6U1MVXOaj8PK2l7WJ3RER9xtqwdhxkhw/edit?usp=sharing"",""ฉะเชิงเทรา!I398"")"),0.0)</f>
        <v>0</v>
      </c>
      <c r="J503" s="232">
        <f>IFERROR(__xludf.DUMMYFUNCTION("IMPORTRANGE(""https://docs.google.com/spreadsheets/d/1SX6NBoVAgQJ6U1MVXOaj8PK2l7WJ3RER9xtqwdhxkhw/edit?usp=sharing"",""ฉะเชิงเทรา!J398"")"),0.0)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IFERROR(__xludf.DUMMYFUNCTION("IMPORTRANGE(""https://docs.google.com/spreadsheets/d/1SX6NBoVAgQJ6U1MVXOaj8PK2l7WJ3RER9xtqwdhxkhw/edit?usp=sharing"",""ฉะเชิงเทรา!I399"")"),0.0)</f>
        <v>0</v>
      </c>
      <c r="J504" s="223">
        <f>IFERROR(__xludf.DUMMYFUNCTION("IMPORTRANGE(""https://docs.google.com/spreadsheets/d/1SX6NBoVAgQJ6U1MVXOaj8PK2l7WJ3RER9xtqwdhxkhw/edit?usp=sharing"",""ฉะเชิงเทรา!J399"")"),0.0)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IFERROR(__xludf.DUMMYFUNCTION("IMPORTRANGE(""https://docs.google.com/spreadsheets/d/1SX6NBoVAgQJ6U1MVXOaj8PK2l7WJ3RER9xtqwdhxkhw/edit?usp=sharing"",""ฉะเชิงเทรา!I400"")"),0.0)</f>
        <v>0</v>
      </c>
      <c r="J505" s="232">
        <f>IFERROR(__xludf.DUMMYFUNCTION("IMPORTRANGE(""https://docs.google.com/spreadsheets/d/1SX6NBoVAgQJ6U1MVXOaj8PK2l7WJ3RER9xtqwdhxkhw/edit?usp=sharing"",""ฉะเชิงเทรา!J400"")"),0.0)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IFERROR(__xludf.DUMMYFUNCTION("IMPORTRANGE(""https://docs.google.com/spreadsheets/d/1SX6NBoVAgQJ6U1MVXOaj8PK2l7WJ3RER9xtqwdhxkhw/edit?usp=sharing"",""ฉะเชิงเทรา!I401"")"),0.0)</f>
        <v>0</v>
      </c>
      <c r="J506" s="223">
        <f>IFERROR(__xludf.DUMMYFUNCTION("IMPORTRANGE(""https://docs.google.com/spreadsheets/d/1SX6NBoVAgQJ6U1MVXOaj8PK2l7WJ3RER9xtqwdhxkhw/edit?usp=sharing"",""ฉะเชิงเทรา!J401"")"),0.0)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IFERROR(__xludf.DUMMYFUNCTION("IMPORTRANGE(""https://docs.google.com/spreadsheets/d/1SX6NBoVAgQJ6U1MVXOaj8PK2l7WJ3RER9xtqwdhxkhw/edit?usp=sharing"",""ฉะเชิงเทรา!I402"")"),0.0)</f>
        <v>0</v>
      </c>
      <c r="J507" s="232">
        <f>IFERROR(__xludf.DUMMYFUNCTION("IMPORTRANGE(""https://docs.google.com/spreadsheets/d/1SX6NBoVAgQJ6U1MVXOaj8PK2l7WJ3RER9xtqwdhxkhw/edit?usp=sharing"",""ฉะเชิงเทรา!J402"")"),0.0)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IFERROR(__xludf.DUMMYFUNCTION("IMPORTRANGE(""https://docs.google.com/spreadsheets/d/1SX6NBoVAgQJ6U1MVXOaj8PK2l7WJ3RER9xtqwdhxkhw/edit?usp=sharing"",""ฉะเชิงเทรา!I403"")"),0.0)</f>
        <v>0</v>
      </c>
      <c r="J508" s="195">
        <f>IFERROR(__xludf.DUMMYFUNCTION("IMPORTRANGE(""https://docs.google.com/spreadsheets/d/1SX6NBoVAgQJ6U1MVXOaj8PK2l7WJ3RER9xtqwdhxkhw/edit?usp=sharing"",""ฉะเชิงเทรา!J403"")"),0.0)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IFERROR(__xludf.DUMMYFUNCTION("IMPORTRANGE(""https://docs.google.com/spreadsheets/d/1SX6NBoVAgQJ6U1MVXOaj8PK2l7WJ3RER9xtqwdhxkhw/edit?usp=sharing"",""ฉะเชิงเทรา!I404"")"),0.0)</f>
        <v>0</v>
      </c>
      <c r="J509" s="195">
        <f>IFERROR(__xludf.DUMMYFUNCTION("IMPORTRANGE(""https://docs.google.com/spreadsheets/d/1SX6NBoVAgQJ6U1MVXOaj8PK2l7WJ3RER9xtqwdhxkhw/edit?usp=sharing"",""ฉะเชิงเทรา!J404"")"),0.0)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IFERROR(__xludf.DUMMYFUNCTION("IMPORTRANGE(""https://docs.google.com/spreadsheets/d/1SX6NBoVAgQJ6U1MVXOaj8PK2l7WJ3RER9xtqwdhxkhw/edit?usp=sharing"",""ฉะเชิงเทรา!I405"")"),0.0)</f>
        <v>0</v>
      </c>
      <c r="J510" s="232">
        <f>IFERROR(__xludf.DUMMYFUNCTION("IMPORTRANGE(""https://docs.google.com/spreadsheets/d/1SX6NBoVAgQJ6U1MVXOaj8PK2l7WJ3RER9xtqwdhxkhw/edit?usp=sharing"",""ฉะเชิงเทรา!J405"")"),0.0)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IFERROR(__xludf.DUMMYFUNCTION("IMPORTRANGE(""https://docs.google.com/spreadsheets/d/1SX6NBoVAgQJ6U1MVXOaj8PK2l7WJ3RER9xtqwdhxkhw/edit?usp=sharing"",""ฉะเชิงเทรา!I406"")"),0.0)</f>
        <v>0</v>
      </c>
      <c r="J511" s="232">
        <f>IFERROR(__xludf.DUMMYFUNCTION("IMPORTRANGE(""https://docs.google.com/spreadsheets/d/1SX6NBoVAgQJ6U1MVXOaj8PK2l7WJ3RER9xtqwdhxkhw/edit?usp=sharing"",""ฉะเชิงเทรา!J406"")"),0.0)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IFERROR(__xludf.DUMMYFUNCTION("IMPORTRANGE(""https://docs.google.com/spreadsheets/d/1SX6NBoVAgQJ6U1MVXOaj8PK2l7WJ3RER9xtqwdhxkhw/edit?usp=sharing"",""ฉะเชิงเทรา!I407"")"),0.0)</f>
        <v>0</v>
      </c>
      <c r="J512" s="232">
        <f>IFERROR(__xludf.DUMMYFUNCTION("IMPORTRANGE(""https://docs.google.com/spreadsheets/d/1SX6NBoVAgQJ6U1MVXOaj8PK2l7WJ3RER9xtqwdhxkhw/edit?usp=sharing"",""ฉะเชิงเทรา!J407"")"),0.0)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IFERROR(__xludf.DUMMYFUNCTION("IMPORTRANGE(""https://docs.google.com/spreadsheets/d/1SX6NBoVAgQJ6U1MVXOaj8PK2l7WJ3RER9xtqwdhxkhw/edit?usp=sharing"",""ฉะเชิงเทรา!I408"")"),0.0)</f>
        <v>0</v>
      </c>
      <c r="J513" s="232">
        <f>IFERROR(__xludf.DUMMYFUNCTION("IMPORTRANGE(""https://docs.google.com/spreadsheets/d/1SX6NBoVAgQJ6U1MVXOaj8PK2l7WJ3RER9xtqwdhxkhw/edit?usp=sharing"",""ฉะเชิงเทรา!J408"")"),0.0)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IFERROR(__xludf.DUMMYFUNCTION("IMPORTRANGE(""https://docs.google.com/spreadsheets/d/1SX6NBoVAgQJ6U1MVXOaj8PK2l7WJ3RER9xtqwdhxkhw/edit?usp=sharing"",""ฉะเชิงเทรา!I409"")"),0.0)</f>
        <v>0</v>
      </c>
      <c r="J514" s="232">
        <f>IFERROR(__xludf.DUMMYFUNCTION("IMPORTRANGE(""https://docs.google.com/spreadsheets/d/1SX6NBoVAgQJ6U1MVXOaj8PK2l7WJ3RER9xtqwdhxkhw/edit?usp=sharing"",""ฉะเชิงเทรา!J409"")"),0.0)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IFERROR(__xludf.DUMMYFUNCTION("IMPORTRANGE(""https://docs.google.com/spreadsheets/d/1SX6NBoVAgQJ6U1MVXOaj8PK2l7WJ3RER9xtqwdhxkhw/edit?usp=sharing"",""ฉะเชิงเทรา!I410"")"),0.0)</f>
        <v>0</v>
      </c>
      <c r="J515" s="232">
        <f>IFERROR(__xludf.DUMMYFUNCTION("IMPORTRANGE(""https://docs.google.com/spreadsheets/d/1SX6NBoVAgQJ6U1MVXOaj8PK2l7WJ3RER9xtqwdhxkhw/edit?usp=sharing"",""ฉะเชิงเทรา!J410"")"),0.0)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IFERROR(__xludf.DUMMYFUNCTION("IMPORTRANGE(""https://docs.google.com/spreadsheets/d/1SX6NBoVAgQJ6U1MVXOaj8PK2l7WJ3RER9xtqwdhxkhw/edit?usp=sharing"",""ฉะเชิงเทรา!I411"")"),0.0)</f>
        <v>0</v>
      </c>
      <c r="J516" s="301">
        <f>IFERROR(__xludf.DUMMYFUNCTION("IMPORTRANGE(""https://docs.google.com/spreadsheets/d/1SX6NBoVAgQJ6U1MVXOaj8PK2l7WJ3RER9xtqwdhxkhw/edit?usp=sharing"",""ฉะเชิงเทรา!J411"")"),0.0)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IFERROR(__xludf.DUMMYFUNCTION("IMPORTRANGE(""https://docs.google.com/spreadsheets/d/1SX6NBoVAgQJ6U1MVXOaj8PK2l7WJ3RER9xtqwdhxkhw/edit?usp=sharing"",""ฉะเชิงเทรา!I412"")"),0.0)</f>
        <v>0</v>
      </c>
      <c r="J517" s="317">
        <f>IFERROR(__xludf.DUMMYFUNCTION("IMPORTRANGE(""https://docs.google.com/spreadsheets/d/1SX6NBoVAgQJ6U1MVXOaj8PK2l7WJ3RER9xtqwdhxkhw/edit?usp=sharing"",""ฉะเชิงเทรา!J412"")"),0.0)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IFERROR(__xludf.DUMMYFUNCTION("IMPORTRANGE(""https://docs.google.com/spreadsheets/d/1SX6NBoVAgQJ6U1MVXOaj8PK2l7WJ3RER9xtqwdhxkhw/edit?usp=sharing"",""ฉะเชิงเทรา!I413"")"),0.0)</f>
        <v>0</v>
      </c>
      <c r="J518" s="317">
        <f>IFERROR(__xludf.DUMMYFUNCTION("IMPORTRANGE(""https://docs.google.com/spreadsheets/d/1SX6NBoVAgQJ6U1MVXOaj8PK2l7WJ3RER9xtqwdhxkhw/edit?usp=sharing"",""ฉะเชิงเทรา!J413"")"),0.0)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IFERROR(__xludf.DUMMYFUNCTION("IMPORTRANGE(""https://docs.google.com/spreadsheets/d/1SX6NBoVAgQJ6U1MVXOaj8PK2l7WJ3RER9xtqwdhxkhw/edit?usp=sharing"",""ฉะเชิงเทรา!I414"")"),0.0)</f>
        <v>0</v>
      </c>
      <c r="J519" s="222">
        <f>IFERROR(__xludf.DUMMYFUNCTION("IMPORTRANGE(""https://docs.google.com/spreadsheets/d/1SX6NBoVAgQJ6U1MVXOaj8PK2l7WJ3RER9xtqwdhxkhw/edit?usp=sharing"",""ฉะเชิงเทรา!J414"")"),0.0)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IFERROR(__xludf.DUMMYFUNCTION("IMPORTRANGE(""https://docs.google.com/spreadsheets/d/1SX6NBoVAgQJ6U1MVXOaj8PK2l7WJ3RER9xtqwdhxkhw/edit?usp=sharing"",""ฉะเชิงเทรา!I415"")"),0.0)</f>
        <v>0</v>
      </c>
      <c r="J520" s="222">
        <f>IFERROR(__xludf.DUMMYFUNCTION("IMPORTRANGE(""https://docs.google.com/spreadsheets/d/1SX6NBoVAgQJ6U1MVXOaj8PK2l7WJ3RER9xtqwdhxkhw/edit?usp=sharing"",""ฉะเชิงเทรา!J415"")"),0.0)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IFERROR(__xludf.DUMMYFUNCTION("IMPORTRANGE(""https://docs.google.com/spreadsheets/d/1SX6NBoVAgQJ6U1MVXOaj8PK2l7WJ3RER9xtqwdhxkhw/edit?usp=sharing"",""ฉะเชิงเทรา!I416"")"),0.0)</f>
        <v>0</v>
      </c>
      <c r="J521" s="222">
        <f>IFERROR(__xludf.DUMMYFUNCTION("IMPORTRANGE(""https://docs.google.com/spreadsheets/d/1SX6NBoVAgQJ6U1MVXOaj8PK2l7WJ3RER9xtqwdhxkhw/edit?usp=sharing"",""ฉะเชิงเทรา!J416"")"),0.0)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IFERROR(__xludf.DUMMYFUNCTION("IMPORTRANGE(""https://docs.google.com/spreadsheets/d/1SX6NBoVAgQJ6U1MVXOaj8PK2l7WJ3RER9xtqwdhxkhw/edit?usp=sharing"",""ฉะเชิงเทรา!I417"")"),0.0)</f>
        <v>0</v>
      </c>
      <c r="J522" s="222">
        <f>IFERROR(__xludf.DUMMYFUNCTION("IMPORTRANGE(""https://docs.google.com/spreadsheets/d/1SX6NBoVAgQJ6U1MVXOaj8PK2l7WJ3RER9xtqwdhxkhw/edit?usp=sharing"",""ฉะเชิงเทรา!J417"")"),0.0)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IFERROR(__xludf.DUMMYFUNCTION("IMPORTRANGE(""https://docs.google.com/spreadsheets/d/1SX6NBoVAgQJ6U1MVXOaj8PK2l7WJ3RER9xtqwdhxkhw/edit?usp=sharing"",""ฉะเชิงเทรา!I418"")"),0.0)</f>
        <v>0</v>
      </c>
      <c r="J523" s="222">
        <f>IFERROR(__xludf.DUMMYFUNCTION("IMPORTRANGE(""https://docs.google.com/spreadsheets/d/1SX6NBoVAgQJ6U1MVXOaj8PK2l7WJ3RER9xtqwdhxkhw/edit?usp=sharing"",""ฉะเชิงเทรา!J418"")"),0.0)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IFERROR(__xludf.DUMMYFUNCTION("IMPORTRANGE(""https://docs.google.com/spreadsheets/d/1SX6NBoVAgQJ6U1MVXOaj8PK2l7WJ3RER9xtqwdhxkhw/edit?usp=sharing"",""ฉะเชิงเทรา!I419"")"),0.0)</f>
        <v>0</v>
      </c>
      <c r="J524" s="222">
        <f>IFERROR(__xludf.DUMMYFUNCTION("IMPORTRANGE(""https://docs.google.com/spreadsheets/d/1SX6NBoVAgQJ6U1MVXOaj8PK2l7WJ3RER9xtqwdhxkhw/edit?usp=sharing"",""ฉะเชิงเทรา!J419"")"),0.0)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IFERROR(__xludf.DUMMYFUNCTION("IMPORTRANGE(""https://docs.google.com/spreadsheets/d/1SX6NBoVAgQJ6U1MVXOaj8PK2l7WJ3RER9xtqwdhxkhw/edit?usp=sharing"",""ฉะเชิงเทรา!I420"")"),0.0)</f>
        <v>0</v>
      </c>
      <c r="J525" s="317">
        <f>IFERROR(__xludf.DUMMYFUNCTION("IMPORTRANGE(""https://docs.google.com/spreadsheets/d/1SX6NBoVAgQJ6U1MVXOaj8PK2l7WJ3RER9xtqwdhxkhw/edit?usp=sharing"",""ฉะเชิงเทรา!J420"")"),0.0)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IFERROR(__xludf.DUMMYFUNCTION("IMPORTRANGE(""https://docs.google.com/spreadsheets/d/1SX6NBoVAgQJ6U1MVXOaj8PK2l7WJ3RER9xtqwdhxkhw/edit?usp=sharing"",""ฉะเชิงเทรา!I421"")"),0.0)</f>
        <v>0</v>
      </c>
      <c r="J526" s="317">
        <f>IFERROR(__xludf.DUMMYFUNCTION("IMPORTRANGE(""https://docs.google.com/spreadsheets/d/1SX6NBoVAgQJ6U1MVXOaj8PK2l7WJ3RER9xtqwdhxkhw/edit?usp=sharing"",""ฉะเชิงเทรา!J421"")"),0.0)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IFERROR(__xludf.DUMMYFUNCTION("IMPORTRANGE(""https://docs.google.com/spreadsheets/d/1SX6NBoVAgQJ6U1MVXOaj8PK2l7WJ3RER9xtqwdhxkhw/edit?usp=sharing"",""ฉะเชิงเทรา!I422"")"),0.0)</f>
        <v>0</v>
      </c>
      <c r="J527" s="232">
        <f>IFERROR(__xludf.DUMMYFUNCTION("IMPORTRANGE(""https://docs.google.com/spreadsheets/d/1SX6NBoVAgQJ6U1MVXOaj8PK2l7WJ3RER9xtqwdhxkhw/edit?usp=sharing"",""ฉะเชิงเทรา!J422"")"),0.0)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IFERROR(__xludf.DUMMYFUNCTION("IMPORTRANGE(""https://docs.google.com/spreadsheets/d/1SX6NBoVAgQJ6U1MVXOaj8PK2l7WJ3RER9xtqwdhxkhw/edit?usp=sharing"",""ฉะเชิงเทรา!I423"")"),0.0)</f>
        <v>0</v>
      </c>
      <c r="J528" s="232">
        <f>IFERROR(__xludf.DUMMYFUNCTION("IMPORTRANGE(""https://docs.google.com/spreadsheets/d/1SX6NBoVAgQJ6U1MVXOaj8PK2l7WJ3RER9xtqwdhxkhw/edit?usp=sharing"",""ฉะเชิงเทรา!J423"")"),0.0)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IFERROR(__xludf.DUMMYFUNCTION("IMPORTRANGE(""https://docs.google.com/spreadsheets/d/1SX6NBoVAgQJ6U1MVXOaj8PK2l7WJ3RER9xtqwdhxkhw/edit?usp=sharing"",""ฉะเชิงเทรา!I424"")"),0.0)</f>
        <v>0</v>
      </c>
      <c r="J529" s="232">
        <f>IFERROR(__xludf.DUMMYFUNCTION("IMPORTRANGE(""https://docs.google.com/spreadsheets/d/1SX6NBoVAgQJ6U1MVXOaj8PK2l7WJ3RER9xtqwdhxkhw/edit?usp=sharing"",""ฉะเชิงเทรา!J424"")"),0.0)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IFERROR(__xludf.DUMMYFUNCTION("IMPORTRANGE(""https://docs.google.com/spreadsheets/d/1SX6NBoVAgQJ6U1MVXOaj8PK2l7WJ3RER9xtqwdhxkhw/edit?usp=sharing"",""ฉะเชิงเทรา!I425"")"),0.0)</f>
        <v>0</v>
      </c>
      <c r="J530" s="232">
        <f>IFERROR(__xludf.DUMMYFUNCTION("IMPORTRANGE(""https://docs.google.com/spreadsheets/d/1SX6NBoVAgQJ6U1MVXOaj8PK2l7WJ3RER9xtqwdhxkhw/edit?usp=sharing"",""ฉะเชิงเทรา!J425"")"),0.0)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IFERROR(__xludf.DUMMYFUNCTION("IMPORTRANGE(""https://docs.google.com/spreadsheets/d/1SX6NBoVAgQJ6U1MVXOaj8PK2l7WJ3RER9xtqwdhxkhw/edit?usp=sharing"",""ฉะเชิงเทรา!I426"")"),0.0)</f>
        <v>0</v>
      </c>
      <c r="J531" s="232">
        <f>IFERROR(__xludf.DUMMYFUNCTION("IMPORTRANGE(""https://docs.google.com/spreadsheets/d/1SX6NBoVAgQJ6U1MVXOaj8PK2l7WJ3RER9xtqwdhxkhw/edit?usp=sharing"",""ฉะเชิงเทรา!J426"")"),0.0)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IFERROR(__xludf.DUMMYFUNCTION("IMPORTRANGE(""https://docs.google.com/spreadsheets/d/1SX6NBoVAgQJ6U1MVXOaj8PK2l7WJ3RER9xtqwdhxkhw/edit?usp=sharing"",""ฉะเชิงเทรา!I427"")"),0.0)</f>
        <v>0</v>
      </c>
      <c r="J532" s="499">
        <f>IFERROR(__xludf.DUMMYFUNCTION("IMPORTRANGE(""https://docs.google.com/spreadsheets/d/1SX6NBoVAgQJ6U1MVXOaj8PK2l7WJ3RER9xtqwdhxkhw/edit?usp=sharing"",""ฉะเชิงเทรา!J427"")"),0.0)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IFERROR(__xludf.DUMMYFUNCTION("IMPORTRANGE(""https://docs.google.com/spreadsheets/d/1SX6NBoVAgQJ6U1MVXOaj8PK2l7WJ3RER9xtqwdhxkhw/edit?usp=sharing"",""ฉะเชิงเทรา!I428"")"),22.0)</f>
        <v>22</v>
      </c>
      <c r="J533" s="443">
        <f>IFERROR(__xludf.DUMMYFUNCTION("IMPORTRANGE(""https://docs.google.com/spreadsheets/d/1SX6NBoVAgQJ6U1MVXOaj8PK2l7WJ3RER9xtqwdhxkhw/edit?usp=sharing"",""ฉะเชิงเทรา!J428"")"),22.0)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IFERROR(__xludf.DUMMYFUNCTION("IMPORTRANGE(""https://docs.google.com/spreadsheets/d/1SX6NBoVAgQJ6U1MVXOaj8PK2l7WJ3RER9xtqwdhxkhw/edit?usp=sharing"",""ฉะเชิงเทรา!L428"")"),34340.0)</f>
        <v>34340</v>
      </c>
      <c r="M533" s="445"/>
      <c r="N533" s="445">
        <f>IFERROR(__xludf.DUMMYFUNCTION("IMPORTRANGE(""https://docs.google.com/spreadsheets/d/1SX6NBoVAgQJ6U1MVXOaj8PK2l7WJ3RER9xtqwdhxkhw/edit?usp=sharing"",""ฉะเชิงเทรา!M428"")"),0.0)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IFERROR(__xludf.DUMMYFUNCTION("IMPORTRANGE(""https://docs.google.com/spreadsheets/d/1SX6NBoVAgQJ6U1MVXOaj8PK2l7WJ3RER9xtqwdhxkhw/edit?usp=sharing"",""ฉะเชิงเทรา!L429"")"),0.0)</f>
        <v>0</v>
      </c>
      <c r="M534" s="197"/>
      <c r="N534" s="203">
        <f>IFERROR(__xludf.DUMMYFUNCTION("IMPORTRANGE(""https://docs.google.com/spreadsheets/d/1SX6NBoVAgQJ6U1MVXOaj8PK2l7WJ3RER9xtqwdhxkhw/edit?usp=sharing"",""ฉะเชิงเทรา!M429"")"),0.0)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IFERROR(__xludf.DUMMYFUNCTION("IMPORTRANGE(""https://docs.google.com/spreadsheets/d/1SX6NBoVAgQJ6U1MVXOaj8PK2l7WJ3RER9xtqwdhxkhw/edit?usp=sharing"",""ฉะเชิงเทรา!L430"")"),34340.0)</f>
        <v>34340</v>
      </c>
      <c r="M535" s="198"/>
      <c r="N535" s="203">
        <f>IFERROR(__xludf.DUMMYFUNCTION("IMPORTRANGE(""https://docs.google.com/spreadsheets/d/1SX6NBoVAgQJ6U1MVXOaj8PK2l7WJ3RER9xtqwdhxkhw/edit?usp=sharing"",""ฉะเชิงเทรา!M430"")"),0.0)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IFERROR(__xludf.DUMMYFUNCTION("IMPORTRANGE(""https://docs.google.com/spreadsheets/d/1SX6NBoVAgQJ6U1MVXOaj8PK2l7WJ3RER9xtqwdhxkhw/edit?usp=sharing"",""ฉะเชิงเทรา!L431"")"),0.0)</f>
        <v>0</v>
      </c>
      <c r="M536" s="203"/>
      <c r="N536" s="203">
        <f>IFERROR(__xludf.DUMMYFUNCTION("IMPORTRANGE(""https://docs.google.com/spreadsheets/d/1SX6NBoVAgQJ6U1MVXOaj8PK2l7WJ3RER9xtqwdhxkhw/edit?usp=sharing"",""ฉะเชิงเทรา!M431"")"),0.0)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IFERROR(__xludf.DUMMYFUNCTION("IMPORTRANGE(""https://docs.google.com/spreadsheets/d/1SX6NBoVAgQJ6U1MVXOaj8PK2l7WJ3RER9xtqwdhxkhw/edit?usp=sharing"",""ฉะเชิงเทรา!L432"")"),34340.0)</f>
        <v>34340</v>
      </c>
      <c r="M537" s="203"/>
      <c r="N537" s="203">
        <f>IFERROR(__xludf.DUMMYFUNCTION("IMPORTRANGE(""https://docs.google.com/spreadsheets/d/1SX6NBoVAgQJ6U1MVXOaj8PK2l7WJ3RER9xtqwdhxkhw/edit?usp=sharing"",""ฉะเชิงเทรา!M432"")"),0.0)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IFERROR(__xludf.DUMMYFUNCTION("IMPORTRANGE(""https://docs.google.com/spreadsheets/d/1SX6NBoVAgQJ6U1MVXOaj8PK2l7WJ3RER9xtqwdhxkhw/edit?usp=sharing"",""ฉะเชิงเทรา!M433"")"),0.0)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IFERROR(__xludf.DUMMYFUNCTION("IMPORTRANGE(""https://docs.google.com/spreadsheets/d/1SX6NBoVAgQJ6U1MVXOaj8PK2l7WJ3RER9xtqwdhxkhw/edit?usp=sharing"",""ฉะเชิงเทรา!M434"")"),0.0)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IFERROR(__xludf.DUMMYFUNCTION("IMPORTRANGE(""https://docs.google.com/spreadsheets/d/1SX6NBoVAgQJ6U1MVXOaj8PK2l7WJ3RER9xtqwdhxkhw/edit?usp=sharing"",""ฉะเชิงเทรา!M435"")"),0.0)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IFERROR(__xludf.DUMMYFUNCTION("IMPORTRANGE(""https://docs.google.com/spreadsheets/d/1SX6NBoVAgQJ6U1MVXOaj8PK2l7WJ3RER9xtqwdhxkhw/edit?usp=sharing"",""ฉะเชิงเทรา!M436"")"),0.0)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IFERROR(__xludf.DUMMYFUNCTION("IMPORTRANGE(""https://docs.google.com/spreadsheets/d/1SX6NBoVAgQJ6U1MVXOaj8PK2l7WJ3RER9xtqwdhxkhw/edit?usp=sharing"",""ฉะเชิงเทรา!J438"")"),0.0)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IFERROR(__xludf.DUMMYFUNCTION("IMPORTRANGE(""https://docs.google.com/spreadsheets/d/1SX6NBoVAgQJ6U1MVXOaj8PK2l7WJ3RER9xtqwdhxkhw/edit?usp=sharing"",""ฉะเชิงเทรา!J439"")"),1.0)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IFERROR(__xludf.DUMMYFUNCTION("IMPORTRANGE(""https://docs.google.com/spreadsheets/d/1SX6NBoVAgQJ6U1MVXOaj8PK2l7WJ3RER9xtqwdhxkhw/edit?usp=sharing"",""ฉะเชิงเทรา!J440"")"),1.0)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IFERROR(__xludf.DUMMYFUNCTION("IMPORTRANGE(""https://docs.google.com/spreadsheets/d/1SX6NBoVAgQJ6U1MVXOaj8PK2l7WJ3RER9xtqwdhxkhw/edit?usp=sharing"",""ฉะเชิงเทรา!J441"")"),1.0)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IFERROR(__xludf.DUMMYFUNCTION("IMPORTRANGE(""https://docs.google.com/spreadsheets/d/1SX6NBoVAgQJ6U1MVXOaj8PK2l7WJ3RER9xtqwdhxkhw/edit?usp=sharing"",""ฉะเชิงเทรา!I442"")"),22.0)</f>
        <v>22</v>
      </c>
      <c r="J547" s="223">
        <f>IFERROR(__xludf.DUMMYFUNCTION("IMPORTRANGE(""https://docs.google.com/spreadsheets/d/1SX6NBoVAgQJ6U1MVXOaj8PK2l7WJ3RER9xtqwdhxkhw/edit?usp=sharing"",""ฉะเชิงเทรา!J442"")"),22.0)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IFERROR(__xludf.DUMMYFUNCTION("IMPORTRANGE(""https://docs.google.com/spreadsheets/d/1SX6NBoVAgQJ6U1MVXOaj8PK2l7WJ3RER9xtqwdhxkhw/edit?usp=sharing"",""ฉะเชิงเทรา!J166"")"),0.0)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IFERROR(__xludf.DUMMYFUNCTION("IMPORTRANGE(""https://docs.google.com/spreadsheets/d/1SX6NBoVAgQJ6U1MVXOaj8PK2l7WJ3RER9xtqwdhxkhw/edit?usp=sharing"",""ฉะเชิงเทรา!J444"")"),0.0)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IFERROR(__xludf.DUMMYFUNCTION("IMPORTRANGE(""https://docs.google.com/spreadsheets/d/1SX6NBoVAgQJ6U1MVXOaj8PK2l7WJ3RER9xtqwdhxkhw/edit?usp=sharing"",""ฉะเชิงเทรา!J445"")"),0.0)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IFERROR(__xludf.DUMMYFUNCTION("IMPORTRANGE(""https://docs.google.com/spreadsheets/d/1SX6NBoVAgQJ6U1MVXOaj8PK2l7WJ3RER9xtqwdhxkhw/edit?usp=sharing"",""ฉะเชิงเทรา!I446"")"),0.0)</f>
        <v>0</v>
      </c>
      <c r="J551" s="443">
        <f>IFERROR(__xludf.DUMMYFUNCTION("IMPORTRANGE(""https://docs.google.com/spreadsheets/d/1SX6NBoVAgQJ6U1MVXOaj8PK2l7WJ3RER9xtqwdhxkhw/edit?usp=sharing"",""ฉะเชิงเทรา!J446"")"),0.0)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IFERROR(__xludf.DUMMYFUNCTION("IMPORTRANGE(""https://docs.google.com/spreadsheets/d/1SX6NBoVAgQJ6U1MVXOaj8PK2l7WJ3RER9xtqwdhxkhw/edit?usp=sharing"",""ฉะเชิงเทรา!L446"")"),0.0)</f>
        <v>0</v>
      </c>
      <c r="M551" s="445"/>
      <c r="N551" s="445">
        <f>IFERROR(__xludf.DUMMYFUNCTION("IMPORTRANGE(""https://docs.google.com/spreadsheets/d/1SX6NBoVAgQJ6U1MVXOaj8PK2l7WJ3RER9xtqwdhxkhw/edit?usp=sharing"",""ฉะเชิงเทรา!M446"")"),0.0)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IFERROR(__xludf.DUMMYFUNCTION("IMPORTRANGE(""https://docs.google.com/spreadsheets/d/1SX6NBoVAgQJ6U1MVXOaj8PK2l7WJ3RER9xtqwdhxkhw/edit?usp=sharing"",""ฉะเชิงเทรา!L447"")"),0.0)</f>
        <v>0</v>
      </c>
      <c r="M552" s="197"/>
      <c r="N552" s="203">
        <f>IFERROR(__xludf.DUMMYFUNCTION("IMPORTRANGE(""https://docs.google.com/spreadsheets/d/1SX6NBoVAgQJ6U1MVXOaj8PK2l7WJ3RER9xtqwdhxkhw/edit?usp=sharing"",""ฉะเชิงเทรา!M447"")"),0.0)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IFERROR(__xludf.DUMMYFUNCTION("IMPORTRANGE(""https://docs.google.com/spreadsheets/d/1SX6NBoVAgQJ6U1MVXOaj8PK2l7WJ3RER9xtqwdhxkhw/edit?usp=sharing"",""ฉะเชิงเทรา!L448"")"),0.0)</f>
        <v>0</v>
      </c>
      <c r="M553" s="198"/>
      <c r="N553" s="203">
        <f>IFERROR(__xludf.DUMMYFUNCTION("IMPORTRANGE(""https://docs.google.com/spreadsheets/d/1SX6NBoVAgQJ6U1MVXOaj8PK2l7WJ3RER9xtqwdhxkhw/edit?usp=sharing"",""ฉะเชิงเทรา!M448"")"),0.0)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IFERROR(__xludf.DUMMYFUNCTION("IMPORTRANGE(""https://docs.google.com/spreadsheets/d/1SX6NBoVAgQJ6U1MVXOaj8PK2l7WJ3RER9xtqwdhxkhw/edit?usp=sharing"",""ฉะเชิงเทรา!L449"")"),0.0)</f>
        <v>0</v>
      </c>
      <c r="M554" s="203"/>
      <c r="N554" s="203">
        <f>IFERROR(__xludf.DUMMYFUNCTION("IMPORTRANGE(""https://docs.google.com/spreadsheets/d/1SX6NBoVAgQJ6U1MVXOaj8PK2l7WJ3RER9xtqwdhxkhw/edit?usp=sharing"",""ฉะเชิงเทรา!M449"")"),0.0)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IFERROR(__xludf.DUMMYFUNCTION("IMPORTRANGE(""https://docs.google.com/spreadsheets/d/1SX6NBoVAgQJ6U1MVXOaj8PK2l7WJ3RER9xtqwdhxkhw/edit?usp=sharing"",""ฉะเชิงเทรา!L450"")"),0.0)</f>
        <v>0</v>
      </c>
      <c r="M555" s="203"/>
      <c r="N555" s="203">
        <f>IFERROR(__xludf.DUMMYFUNCTION("IMPORTRANGE(""https://docs.google.com/spreadsheets/d/1SX6NBoVAgQJ6U1MVXOaj8PK2l7WJ3RER9xtqwdhxkhw/edit?usp=sharing"",""ฉะเชิงเทรา!M450"")"),0.0)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IFERROR(__xludf.DUMMYFUNCTION("IMPORTRANGE(""https://docs.google.com/spreadsheets/d/1SX6NBoVAgQJ6U1MVXOaj8PK2l7WJ3RER9xtqwdhxkhw/edit?usp=sharing"",""ฉะเชิงเทรา!M451"")"),0.0)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IFERROR(__xludf.DUMMYFUNCTION("IMPORTRANGE(""https://docs.google.com/spreadsheets/d/1SX6NBoVAgQJ6U1MVXOaj8PK2l7WJ3RER9xtqwdhxkhw/edit?usp=sharing"",""ฉะเชิงเทรา!M452"")"),0.0)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IFERROR(__xludf.DUMMYFUNCTION("IMPORTRANGE(""https://docs.google.com/spreadsheets/d/1SX6NBoVAgQJ6U1MVXOaj8PK2l7WJ3RER9xtqwdhxkhw/edit?usp=sharing"",""ฉะเชิงเทรา!M453"")"),0.0)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IFERROR(__xludf.DUMMYFUNCTION("IMPORTRANGE(""https://docs.google.com/spreadsheets/d/1SX6NBoVAgQJ6U1MVXOaj8PK2l7WJ3RER9xtqwdhxkhw/edit?usp=sharing"",""ฉะเชิงเทรา!M454"")"),0.0)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IFERROR(__xludf.DUMMYFUNCTION("IMPORTRANGE(""https://docs.google.com/spreadsheets/d/1SX6NBoVAgQJ6U1MVXOaj8PK2l7WJ3RER9xtqwdhxkhw/edit?usp=sharing"",""ฉะเชิงเทรา!I455"")"),0.0)</f>
        <v>0</v>
      </c>
      <c r="J560" s="195">
        <f>IFERROR(__xludf.DUMMYFUNCTION("IMPORTRANGE(""https://docs.google.com/spreadsheets/d/1SX6NBoVAgQJ6U1MVXOaj8PK2l7WJ3RER9xtqwdhxkhw/edit?usp=sharing"",""ฉะเชิงเทรา!J455"")"),0.0)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IFERROR(__xludf.DUMMYFUNCTION("IMPORTRANGE(""https://docs.google.com/spreadsheets/d/1SX6NBoVAgQJ6U1MVXOaj8PK2l7WJ3RER9xtqwdhxkhw/edit?usp=sharing"",""ฉะเชิงเทรา!I456"")"),0.0)</f>
        <v>0</v>
      </c>
      <c r="J561" s="238">
        <f>IFERROR(__xludf.DUMMYFUNCTION("IMPORTRANGE(""https://docs.google.com/spreadsheets/d/1SX6NBoVAgQJ6U1MVXOaj8PK2l7WJ3RER9xtqwdhxkhw/edit?usp=sharing"",""ฉะเชิงเทรา!J456"")"),0.0)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IFERROR(__xludf.DUMMYFUNCTION("IMPORTRANGE(""https://docs.google.com/spreadsheets/d/1SX6NBoVAgQJ6U1MVXOaj8PK2l7WJ3RER9xtqwdhxkhw/edit?usp=sharing"",""ฉะเชิงเทรา!I457"")"),"")</f>
        <v/>
      </c>
      <c r="J562" s="238" t="str">
        <f>IFERROR(__xludf.DUMMYFUNCTION("IMPORTRANGE(""https://docs.google.com/spreadsheets/d/1SX6NBoVAgQJ6U1MVXOaj8PK2l7WJ3RER9xtqwdhxkhw/edit?usp=sharing"",""ฉะเชิงเทรา!J457"")"),"")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IFERROR(__xludf.DUMMYFUNCTION("IMPORTRANGE(""https://docs.google.com/spreadsheets/d/1SX6NBoVAgQJ6U1MVXOaj8PK2l7WJ3RER9xtqwdhxkhw/edit?usp=sharing"",""ฉะเชิงเทรา!I458"")"),"")</f>
        <v/>
      </c>
      <c r="J563" s="222" t="str">
        <f>IFERROR(__xludf.DUMMYFUNCTION("IMPORTRANGE(""https://docs.google.com/spreadsheets/d/1SX6NBoVAgQJ6U1MVXOaj8PK2l7WJ3RER9xtqwdhxkhw/edit?usp=sharing"",""ฉะเชิงเทรา!J458"")"),"")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IFERROR(__xludf.DUMMYFUNCTION("IMPORTRANGE(""https://docs.google.com/spreadsheets/d/1SX6NBoVAgQJ6U1MVXOaj8PK2l7WJ3RER9xtqwdhxkhw/edit?usp=sharing"",""ฉะเชิงเทรา!I459"")"),1800.0)</f>
        <v>1800</v>
      </c>
      <c r="J564" s="404">
        <f>IFERROR(__xludf.DUMMYFUNCTION("IMPORTRANGE(""https://docs.google.com/spreadsheets/d/1SX6NBoVAgQJ6U1MVXOaj8PK2l7WJ3RER9xtqwdhxkhw/edit?usp=sharing"",""ฉะเชิงเทรา!J459"")"),0.0)</f>
        <v>0</v>
      </c>
      <c r="K564" s="405">
        <f t="shared" si="122"/>
        <v>0</v>
      </c>
      <c r="L564" s="406">
        <f>IFERROR(__xludf.DUMMYFUNCTION("IMPORTRANGE(""https://docs.google.com/spreadsheets/d/1SX6NBoVAgQJ6U1MVXOaj8PK2l7WJ3RER9xtqwdhxkhw/edit?usp=sharing"",""ฉะเชิงเทรา!L459"")"),140960.0)</f>
        <v>140960</v>
      </c>
      <c r="M564" s="406"/>
      <c r="N564" s="406">
        <f>IFERROR(__xludf.DUMMYFUNCTION("IMPORTRANGE(""https://docs.google.com/spreadsheets/d/1SX6NBoVAgQJ6U1MVXOaj8PK2l7WJ3RER9xtqwdhxkhw/edit?usp=sharing"",""ฉะเชิงเทรา!M459"")"),17233.0)</f>
        <v>17233</v>
      </c>
      <c r="O564" s="406">
        <f t="shared" ref="O564:O568" si="123">+IF(L564&gt;0,N564*100/L564,0)</f>
        <v>12.22545403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IFERROR(__xludf.DUMMYFUNCTION("IMPORTRANGE(""https://docs.google.com/spreadsheets/d/1SX6NBoVAgQJ6U1MVXOaj8PK2l7WJ3RER9xtqwdhxkhw/edit?usp=sharing"",""ฉะเชิงเทรา!L460"")"),0.0)</f>
        <v>0</v>
      </c>
      <c r="M565" s="197"/>
      <c r="N565" s="203">
        <f>IFERROR(__xludf.DUMMYFUNCTION("IMPORTRANGE(""https://docs.google.com/spreadsheets/d/1SX6NBoVAgQJ6U1MVXOaj8PK2l7WJ3RER9xtqwdhxkhw/edit?usp=sharing"",""ฉะเชิงเทรา!M460"")"),0.0)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IFERROR(__xludf.DUMMYFUNCTION("IMPORTRANGE(""https://docs.google.com/spreadsheets/d/1SX6NBoVAgQJ6U1MVXOaj8PK2l7WJ3RER9xtqwdhxkhw/edit?usp=sharing"",""ฉะเชิงเทรา!L461"")"),140960.0)</f>
        <v>140960</v>
      </c>
      <c r="M566" s="198"/>
      <c r="N566" s="203">
        <f>IFERROR(__xludf.DUMMYFUNCTION("IMPORTRANGE(""https://docs.google.com/spreadsheets/d/1SX6NBoVAgQJ6U1MVXOaj8PK2l7WJ3RER9xtqwdhxkhw/edit?usp=sharing"",""ฉะเชิงเทรา!M461"")"),17233.0)</f>
        <v>17233</v>
      </c>
      <c r="O566" s="203">
        <f t="shared" si="123"/>
        <v>12.22545403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IFERROR(__xludf.DUMMYFUNCTION("IMPORTRANGE(""https://docs.google.com/spreadsheets/d/1SX6NBoVAgQJ6U1MVXOaj8PK2l7WJ3RER9xtqwdhxkhw/edit?usp=sharing"",""ฉะเชิงเทรา!L462"")"),0.0)</f>
        <v>0</v>
      </c>
      <c r="M567" s="203"/>
      <c r="N567" s="203">
        <f>IFERROR(__xludf.DUMMYFUNCTION("IMPORTRANGE(""https://docs.google.com/spreadsheets/d/1SX6NBoVAgQJ6U1MVXOaj8PK2l7WJ3RER9xtqwdhxkhw/edit?usp=sharing"",""ฉะเชิงเทรา!M462"")"),0.0)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IFERROR(__xludf.DUMMYFUNCTION("IMPORTRANGE(""https://docs.google.com/spreadsheets/d/1SX6NBoVAgQJ6U1MVXOaj8PK2l7WJ3RER9xtqwdhxkhw/edit?usp=sharing"",""ฉะเชิงเทรา!L463"")"),140960.0)</f>
        <v>140960</v>
      </c>
      <c r="M568" s="203"/>
      <c r="N568" s="203">
        <f>IFERROR(__xludf.DUMMYFUNCTION("IMPORTRANGE(""https://docs.google.com/spreadsheets/d/1SX6NBoVAgQJ6U1MVXOaj8PK2l7WJ3RER9xtqwdhxkhw/edit?usp=sharing"",""ฉะเชิงเทรา!M463"")"),17233.0)</f>
        <v>17233</v>
      </c>
      <c r="O568" s="203">
        <f t="shared" si="123"/>
        <v>12.22545403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IFERROR(__xludf.DUMMYFUNCTION("IMPORTRANGE(""https://docs.google.com/spreadsheets/d/1SX6NBoVAgQJ6U1MVXOaj8PK2l7WJ3RER9xtqwdhxkhw/edit?usp=sharing"",""ฉะเชิงเทรา!M464"")"),0.0)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IFERROR(__xludf.DUMMYFUNCTION("IMPORTRANGE(""https://docs.google.com/spreadsheets/d/1SX6NBoVAgQJ6U1MVXOaj8PK2l7WJ3RER9xtqwdhxkhw/edit?usp=sharing"",""ฉะเชิงเทรา!M465"")"),0.0)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IFERROR(__xludf.DUMMYFUNCTION("IMPORTRANGE(""https://docs.google.com/spreadsheets/d/1SX6NBoVAgQJ6U1MVXOaj8PK2l7WJ3RER9xtqwdhxkhw/edit?usp=sharing"",""ฉะเชิงเทรา!M466"")"),17233.0)</f>
        <v>17233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IFERROR(__xludf.DUMMYFUNCTION("IMPORTRANGE(""https://docs.google.com/spreadsheets/d/1SX6NBoVAgQJ6U1MVXOaj8PK2l7WJ3RER9xtqwdhxkhw/edit?usp=sharing"",""ฉะเชิงเทรา!M467"")"),0.0)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IFERROR(__xludf.DUMMYFUNCTION("IMPORTRANGE(""https://docs.google.com/spreadsheets/d/1SX6NBoVAgQJ6U1MVXOaj8PK2l7WJ3RER9xtqwdhxkhw/edit?usp=sharing"",""ฉะเชิงเทรา!I468"")"),1800.0)</f>
        <v>1800</v>
      </c>
      <c r="J573" s="453">
        <f>IFERROR(__xludf.DUMMYFUNCTION("IMPORTRANGE(""https://docs.google.com/spreadsheets/d/1SX6NBoVAgQJ6U1MVXOaj8PK2l7WJ3RER9xtqwdhxkhw/edit?usp=sharing"",""ฉะเชิงเทรา!J468"")"),0.0)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IFERROR(__xludf.DUMMYFUNCTION("IMPORTRANGE(""https://docs.google.com/spreadsheets/d/1SX6NBoVAgQJ6U1MVXOaj8PK2l7WJ3RER9xtqwdhxkhw/edit?usp=sharing"",""ฉะเชิงเทรา!I470"")"),0.0)</f>
        <v>0</v>
      </c>
      <c r="J575" s="232">
        <f>IFERROR(__xludf.DUMMYFUNCTION("IMPORTRANGE(""https://docs.google.com/spreadsheets/d/1SX6NBoVAgQJ6U1MVXOaj8PK2l7WJ3RER9xtqwdhxkhw/edit?usp=sharing"",""ฉะเชิงเทรา!J470"")"),0.0)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IFERROR(__xludf.DUMMYFUNCTION("IMPORTRANGE(""https://docs.google.com/spreadsheets/d/1SX6NBoVAgQJ6U1MVXOaj8PK2l7WJ3RER9xtqwdhxkhw/edit?usp=sharing"",""ฉะเชิงเทรา!I471"")"),0.0)</f>
        <v>0</v>
      </c>
      <c r="J576" s="232">
        <f>IFERROR(__xludf.DUMMYFUNCTION("IMPORTRANGE(""https://docs.google.com/spreadsheets/d/1SX6NBoVAgQJ6U1MVXOaj8PK2l7WJ3RER9xtqwdhxkhw/edit?usp=sharing"",""ฉะเชิงเทรา!J471"")"),0.0)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IFERROR(__xludf.DUMMYFUNCTION("IMPORTRANGE(""https://docs.google.com/spreadsheets/d/1SX6NBoVAgQJ6U1MVXOaj8PK2l7WJ3RER9xtqwdhxkhw/edit?usp=sharing"",""ฉะเชิงเทรา!I472"")"),0.0)</f>
        <v>0</v>
      </c>
      <c r="J577" s="223">
        <f>IFERROR(__xludf.DUMMYFUNCTION("IMPORTRANGE(""https://docs.google.com/spreadsheets/d/1SX6NBoVAgQJ6U1MVXOaj8PK2l7WJ3RER9xtqwdhxkhw/edit?usp=sharing"",""ฉะเชิงเทรา!J472"")"),0.0)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IFERROR(__xludf.DUMMYFUNCTION("IMPORTRANGE(""https://docs.google.com/spreadsheets/d/1SX6NBoVAgQJ6U1MVXOaj8PK2l7WJ3RER9xtqwdhxkhw/edit?usp=sharing"",""ฉะเชิงเทรา!I473"")"),0.0)</f>
        <v>0</v>
      </c>
      <c r="J578" s="232">
        <f>IFERROR(__xludf.DUMMYFUNCTION("IMPORTRANGE(""https://docs.google.com/spreadsheets/d/1SX6NBoVAgQJ6U1MVXOaj8PK2l7WJ3RER9xtqwdhxkhw/edit?usp=sharing"",""ฉะเชิงเทรา!J473"")"),0.0)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IFERROR(__xludf.DUMMYFUNCTION("IMPORTRANGE(""https://docs.google.com/spreadsheets/d/1SX6NBoVAgQJ6U1MVXOaj8PK2l7WJ3RER9xtqwdhxkhw/edit?usp=sharing"",""ฉะเชิงเทรา!I474"")"),0.0)</f>
        <v>0</v>
      </c>
      <c r="J579" s="232">
        <f>IFERROR(__xludf.DUMMYFUNCTION("IMPORTRANGE(""https://docs.google.com/spreadsheets/d/1SX6NBoVAgQJ6U1MVXOaj8PK2l7WJ3RER9xtqwdhxkhw/edit?usp=sharing"",""ฉะเชิงเทรา!J474"")"),0.0)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IFERROR(__xludf.DUMMYFUNCTION("IMPORTRANGE(""https://docs.google.com/spreadsheets/d/1SX6NBoVAgQJ6U1MVXOaj8PK2l7WJ3RER9xtqwdhxkhw/edit?usp=sharing"",""ฉะเชิงเทรา!I475"")"),200.0)</f>
        <v>200</v>
      </c>
      <c r="J580" s="404">
        <f>IFERROR(__xludf.DUMMYFUNCTION("IMPORTRANGE(""https://docs.google.com/spreadsheets/d/1SX6NBoVAgQJ6U1MVXOaj8PK2l7WJ3RER9xtqwdhxkhw/edit?usp=sharing"",""ฉะเชิงเทรา!J475"")"),0.0)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IFERROR(__xludf.DUMMYFUNCTION("IMPORTRANGE(""https://docs.google.com/spreadsheets/d/1SX6NBoVAgQJ6U1MVXOaj8PK2l7WJ3RER9xtqwdhxkhw/edit?usp=sharing"",""ฉะเชิงเทรา!L475"")"),328200.0)</f>
        <v>328200</v>
      </c>
      <c r="M580" s="406"/>
      <c r="N580" s="406">
        <f>IFERROR(__xludf.DUMMYFUNCTION("IMPORTRANGE(""https://docs.google.com/spreadsheets/d/1SX6NBoVAgQJ6U1MVXOaj8PK2l7WJ3RER9xtqwdhxkhw/edit?usp=sharing"",""ฉะเชิงเทรา!M475"")"),0.0)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IFERROR(__xludf.DUMMYFUNCTION("IMPORTRANGE(""https://docs.google.com/spreadsheets/d/1SX6NBoVAgQJ6U1MVXOaj8PK2l7WJ3RER9xtqwdhxkhw/edit?usp=sharing"",""ฉะเชิงเทรา!L476"")"),0.0)</f>
        <v>0</v>
      </c>
      <c r="M581" s="197"/>
      <c r="N581" s="203">
        <f>IFERROR(__xludf.DUMMYFUNCTION("IMPORTRANGE(""https://docs.google.com/spreadsheets/d/1SX6NBoVAgQJ6U1MVXOaj8PK2l7WJ3RER9xtqwdhxkhw/edit?usp=sharing"",""ฉะเชิงเทรา!M476"")"),0.0)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IFERROR(__xludf.DUMMYFUNCTION("IMPORTRANGE(""https://docs.google.com/spreadsheets/d/1SX6NBoVAgQJ6U1MVXOaj8PK2l7WJ3RER9xtqwdhxkhw/edit?usp=sharing"",""ฉะเชิงเทรา!L477"")"),328200.0)</f>
        <v>328200</v>
      </c>
      <c r="M582" s="198"/>
      <c r="N582" s="203">
        <f>IFERROR(__xludf.DUMMYFUNCTION("IMPORTRANGE(""https://docs.google.com/spreadsheets/d/1SX6NBoVAgQJ6U1MVXOaj8PK2l7WJ3RER9xtqwdhxkhw/edit?usp=sharing"",""ฉะเชิงเทรา!M477"")"),0.0)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IFERROR(__xludf.DUMMYFUNCTION("IMPORTRANGE(""https://docs.google.com/spreadsheets/d/1SX6NBoVAgQJ6U1MVXOaj8PK2l7WJ3RER9xtqwdhxkhw/edit?usp=sharing"",""ฉะเชิงเทรา!L478"")"),0.0)</f>
        <v>0</v>
      </c>
      <c r="M583" s="203"/>
      <c r="N583" s="203">
        <f>IFERROR(__xludf.DUMMYFUNCTION("IMPORTRANGE(""https://docs.google.com/spreadsheets/d/1SX6NBoVAgQJ6U1MVXOaj8PK2l7WJ3RER9xtqwdhxkhw/edit?usp=sharing"",""ฉะเชิงเทรา!M478"")"),0.0)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IFERROR(__xludf.DUMMYFUNCTION("IMPORTRANGE(""https://docs.google.com/spreadsheets/d/1SX6NBoVAgQJ6U1MVXOaj8PK2l7WJ3RER9xtqwdhxkhw/edit?usp=sharing"",""ฉะเชิงเทรา!L479"")"),328200.0)</f>
        <v>328200</v>
      </c>
      <c r="M584" s="203"/>
      <c r="N584" s="203">
        <f>IFERROR(__xludf.DUMMYFUNCTION("IMPORTRANGE(""https://docs.google.com/spreadsheets/d/1SX6NBoVAgQJ6U1MVXOaj8PK2l7WJ3RER9xtqwdhxkhw/edit?usp=sharing"",""ฉะเชิงเทรา!M479"")"),0.0)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IFERROR(__xludf.DUMMYFUNCTION("IMPORTRANGE(""https://docs.google.com/spreadsheets/d/1SX6NBoVAgQJ6U1MVXOaj8PK2l7WJ3RER9xtqwdhxkhw/edit?usp=sharing"",""ฉะเชิงเทรา!M480"")"),0.0)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IFERROR(__xludf.DUMMYFUNCTION("IMPORTRANGE(""https://docs.google.com/spreadsheets/d/1SX6NBoVAgQJ6U1MVXOaj8PK2l7WJ3RER9xtqwdhxkhw/edit?usp=sharing"",""ฉะเชิงเทรา!M481"")"),0.0)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IFERROR(__xludf.DUMMYFUNCTION("IMPORTRANGE(""https://docs.google.com/spreadsheets/d/1SX6NBoVAgQJ6U1MVXOaj8PK2l7WJ3RER9xtqwdhxkhw/edit?usp=sharing"",""ฉะเชิงเทรา!M482"")"),0.0)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IFERROR(__xludf.DUMMYFUNCTION("IMPORTRANGE(""https://docs.google.com/spreadsheets/d/1SX6NBoVAgQJ6U1MVXOaj8PK2l7WJ3RER9xtqwdhxkhw/edit?usp=sharing"",""ฉะเชิงเทรา!M483"")"),0.0)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IFERROR(__xludf.DUMMYFUNCTION("IMPORTRANGE(""https://docs.google.com/spreadsheets/d/1SX6NBoVAgQJ6U1MVXOaj8PK2l7WJ3RER9xtqwdhxkhw/edit?usp=sharing"",""ฉะเชิงเทรา!I484"")"),200.0)</f>
        <v>200</v>
      </c>
      <c r="J589" s="222">
        <f>IFERROR(__xludf.DUMMYFUNCTION("IMPORTRANGE(""https://docs.google.com/spreadsheets/d/1SX6NBoVAgQJ6U1MVXOaj8PK2l7WJ3RER9xtqwdhxkhw/edit?usp=sharing"",""ฉะเชิงเทรา!J484"")"),93.0)</f>
        <v>93</v>
      </c>
      <c r="K589" s="196">
        <f t="shared" ref="K589:K596" si="126">IF(I589&gt;0,J589*100/I589,0)</f>
        <v>46.5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IFERROR(__xludf.DUMMYFUNCTION("IMPORTRANGE(""https://docs.google.com/spreadsheets/d/1SX6NBoVAgQJ6U1MVXOaj8PK2l7WJ3RER9xtqwdhxkhw/edit?usp=sharing"",""ฉะเชิงเทรา!I485"")"),0.0)</f>
        <v>0</v>
      </c>
      <c r="J590" s="222">
        <f>IFERROR(__xludf.DUMMYFUNCTION("IMPORTRANGE(""https://docs.google.com/spreadsheets/d/1SX6NBoVAgQJ6U1MVXOaj8PK2l7WJ3RER9xtqwdhxkhw/edit?usp=sharing"",""ฉะเชิงเทรา!J485"")"),70.88)</f>
        <v>70.88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IFERROR(__xludf.DUMMYFUNCTION("IMPORTRANGE(""https://docs.google.com/spreadsheets/d/1SX6NBoVAgQJ6U1MVXOaj8PK2l7WJ3RER9xtqwdhxkhw/edit?usp=sharing"",""ฉะเชิงเทรา!I486"")"),200.0)</f>
        <v>200</v>
      </c>
      <c r="J591" s="222">
        <f>IFERROR(__xludf.DUMMYFUNCTION("IMPORTRANGE(""https://docs.google.com/spreadsheets/d/1SX6NBoVAgQJ6U1MVXOaj8PK2l7WJ3RER9xtqwdhxkhw/edit?usp=sharing"",""ฉะเชิงเทรา!J486"")"),0.0)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IFERROR(__xludf.DUMMYFUNCTION("IMPORTRANGE(""https://docs.google.com/spreadsheets/d/1SX6NBoVAgQJ6U1MVXOaj8PK2l7WJ3RER9xtqwdhxkhw/edit?usp=sharing"",""ฉะเชิงเทรา!I487"")"),0.0)</f>
        <v>0</v>
      </c>
      <c r="J592" s="222">
        <f>IFERROR(__xludf.DUMMYFUNCTION("IMPORTRANGE(""https://docs.google.com/spreadsheets/d/1SX6NBoVAgQJ6U1MVXOaj8PK2l7WJ3RER9xtqwdhxkhw/edit?usp=sharing"",""ฉะเชิงเทรา!J487"")"),0.0)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IFERROR(__xludf.DUMMYFUNCTION("IMPORTRANGE(""https://docs.google.com/spreadsheets/d/1SX6NBoVAgQJ6U1MVXOaj8PK2l7WJ3RER9xtqwdhxkhw/edit?usp=sharing"",""ฉะเชิงเทรา!I488"")"),200.0)</f>
        <v>200</v>
      </c>
      <c r="J593" s="222">
        <f>IFERROR(__xludf.DUMMYFUNCTION("IMPORTRANGE(""https://docs.google.com/spreadsheets/d/1SX6NBoVAgQJ6U1MVXOaj8PK2l7WJ3RER9xtqwdhxkhw/edit?usp=sharing"",""ฉะเชิงเทรา!J488"")"),0.0)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IFERROR(__xludf.DUMMYFUNCTION("IMPORTRANGE(""https://docs.google.com/spreadsheets/d/1SX6NBoVAgQJ6U1MVXOaj8PK2l7WJ3RER9xtqwdhxkhw/edit?usp=sharing"",""ฉะเชิงเทรา!I489"")"),0.0)</f>
        <v>0</v>
      </c>
      <c r="J594" s="222">
        <f>IFERROR(__xludf.DUMMYFUNCTION("IMPORTRANGE(""https://docs.google.com/spreadsheets/d/1SX6NBoVAgQJ6U1MVXOaj8PK2l7WJ3RER9xtqwdhxkhw/edit?usp=sharing"",""ฉะเชิงเทรา!J489"")"),0.0)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IFERROR(__xludf.DUMMYFUNCTION("IMPORTRANGE(""https://docs.google.com/spreadsheets/d/1SX6NBoVAgQJ6U1MVXOaj8PK2l7WJ3RER9xtqwdhxkhw/edit?usp=sharing"",""ฉะเชิงเทรา!I490"")"),200.0)</f>
        <v>200</v>
      </c>
      <c r="J595" s="222">
        <f>IFERROR(__xludf.DUMMYFUNCTION("IMPORTRANGE(""https://docs.google.com/spreadsheets/d/1SX6NBoVAgQJ6U1MVXOaj8PK2l7WJ3RER9xtqwdhxkhw/edit?usp=sharing"",""ฉะเชิงเทรา!J490"")"),0.0)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IFERROR(__xludf.DUMMYFUNCTION("IMPORTRANGE(""https://docs.google.com/spreadsheets/d/1SX6NBoVAgQJ6U1MVXOaj8PK2l7WJ3RER9xtqwdhxkhw/edit?usp=sharing"",""ฉะเชิงเทรา!I491"")"),0.0)</f>
        <v>0</v>
      </c>
      <c r="J596" s="275">
        <f>IFERROR(__xludf.DUMMYFUNCTION("IMPORTRANGE(""https://docs.google.com/spreadsheets/d/1SX6NBoVAgQJ6U1MVXOaj8PK2l7WJ3RER9xtqwdhxkhw/edit?usp=sharing"",""ฉะเชิงเทรา!J491"")"),0.0)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IFERROR(__xludf.DUMMYFUNCTION("IMPORTRANGE(""https://docs.google.com/spreadsheets/d/1SX6NBoVAgQJ6U1MVXOaj8PK2l7WJ3RER9xtqwdhxkhw/edit?usp=sharing"",""ฉะเชิงเทรา!I492"")"),52.0)</f>
        <v>52</v>
      </c>
      <c r="J597" s="520">
        <f>IFERROR(__xludf.DUMMYFUNCTION("IMPORTRANGE(""https://docs.google.com/spreadsheets/d/1SX6NBoVAgQJ6U1MVXOaj8PK2l7WJ3RER9xtqwdhxkhw/edit?usp=sharing"",""ฉะเชิงเทรา!J492"")"),0.0)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IFERROR(__xludf.DUMMYFUNCTION("IMPORTRANGE(""https://docs.google.com/spreadsheets/d/1SX6NBoVAgQJ6U1MVXOaj8PK2l7WJ3RER9xtqwdhxkhw/edit?usp=sharing"",""ฉะเชิงเทรา!L492"")"),5460.0)</f>
        <v>5460</v>
      </c>
      <c r="M597" s="445"/>
      <c r="N597" s="445">
        <f>IFERROR(__xludf.DUMMYFUNCTION("IMPORTRANGE(""https://docs.google.com/spreadsheets/d/1SX6NBoVAgQJ6U1MVXOaj8PK2l7WJ3RER9xtqwdhxkhw/edit?usp=sharing"",""ฉะเชิงเทรา!M492"")"),900.0)</f>
        <v>900</v>
      </c>
      <c r="O597" s="445">
        <f t="shared" ref="O597:O601" si="127">+IF(L597&gt;0,N597*100/L597,0)</f>
        <v>16.48351648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IFERROR(__xludf.DUMMYFUNCTION("IMPORTRANGE(""https://docs.google.com/spreadsheets/d/1SX6NBoVAgQJ6U1MVXOaj8PK2l7WJ3RER9xtqwdhxkhw/edit?usp=sharing"",""ฉะเชิงเทรา!L493"")"),0.0)</f>
        <v>0</v>
      </c>
      <c r="M598" s="197"/>
      <c r="N598" s="203">
        <f>IFERROR(__xludf.DUMMYFUNCTION("IMPORTRANGE(""https://docs.google.com/spreadsheets/d/1SX6NBoVAgQJ6U1MVXOaj8PK2l7WJ3RER9xtqwdhxkhw/edit?usp=sharing"",""ฉะเชิงเทรา!M493"")"),0.0)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IFERROR(__xludf.DUMMYFUNCTION("IMPORTRANGE(""https://docs.google.com/spreadsheets/d/1SX6NBoVAgQJ6U1MVXOaj8PK2l7WJ3RER9xtqwdhxkhw/edit?usp=sharing"",""ฉะเชิงเทรา!L494"")"),5460.0)</f>
        <v>5460</v>
      </c>
      <c r="M599" s="198"/>
      <c r="N599" s="203">
        <f>IFERROR(__xludf.DUMMYFUNCTION("IMPORTRANGE(""https://docs.google.com/spreadsheets/d/1SX6NBoVAgQJ6U1MVXOaj8PK2l7WJ3RER9xtqwdhxkhw/edit?usp=sharing"",""ฉะเชิงเทรา!M494"")"),900.0)</f>
        <v>900</v>
      </c>
      <c r="O599" s="203">
        <f t="shared" si="127"/>
        <v>16.48351648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IFERROR(__xludf.DUMMYFUNCTION("IMPORTRANGE(""https://docs.google.com/spreadsheets/d/1SX6NBoVAgQJ6U1MVXOaj8PK2l7WJ3RER9xtqwdhxkhw/edit?usp=sharing"",""ฉะเชิงเทรา!L495"")"),0.0)</f>
        <v>0</v>
      </c>
      <c r="M600" s="203"/>
      <c r="N600" s="203">
        <f>IFERROR(__xludf.DUMMYFUNCTION("IMPORTRANGE(""https://docs.google.com/spreadsheets/d/1SX6NBoVAgQJ6U1MVXOaj8PK2l7WJ3RER9xtqwdhxkhw/edit?usp=sharing"",""ฉะเชิงเทรา!M495"")"),0.0)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IFERROR(__xludf.DUMMYFUNCTION("IMPORTRANGE(""https://docs.google.com/spreadsheets/d/1SX6NBoVAgQJ6U1MVXOaj8PK2l7WJ3RER9xtqwdhxkhw/edit?usp=sharing"",""ฉะเชิงเทรา!L496"")"),5460.0)</f>
        <v>5460</v>
      </c>
      <c r="M601" s="203"/>
      <c r="N601" s="203">
        <f>IFERROR(__xludf.DUMMYFUNCTION("IMPORTRANGE(""https://docs.google.com/spreadsheets/d/1SX6NBoVAgQJ6U1MVXOaj8PK2l7WJ3RER9xtqwdhxkhw/edit?usp=sharing"",""ฉะเชิงเทรา!M496"")"),900.0)</f>
        <v>900</v>
      </c>
      <c r="O601" s="203">
        <f t="shared" si="127"/>
        <v>16.48351648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IFERROR(__xludf.DUMMYFUNCTION("IMPORTRANGE(""https://docs.google.com/spreadsheets/d/1SX6NBoVAgQJ6U1MVXOaj8PK2l7WJ3RER9xtqwdhxkhw/edit?usp=sharing"",""ฉะเชิงเทรา!M497"")"),0.0)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IFERROR(__xludf.DUMMYFUNCTION("IMPORTRANGE(""https://docs.google.com/spreadsheets/d/1SX6NBoVAgQJ6U1MVXOaj8PK2l7WJ3RER9xtqwdhxkhw/edit?usp=sharing"",""ฉะเชิงเทรา!M498"")"),0.0)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IFERROR(__xludf.DUMMYFUNCTION("IMPORTRANGE(""https://docs.google.com/spreadsheets/d/1SX6NBoVAgQJ6U1MVXOaj8PK2l7WJ3RER9xtqwdhxkhw/edit?usp=sharing"",""ฉะเชิงเทรา!M499"")"),0.0)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IFERROR(__xludf.DUMMYFUNCTION("IMPORTRANGE(""https://docs.google.com/spreadsheets/d/1SX6NBoVAgQJ6U1MVXOaj8PK2l7WJ3RER9xtqwdhxkhw/edit?usp=sharing"",""ฉะเชิงเทรา!M500"")"),900.0)</f>
        <v>900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IFERROR(__xludf.DUMMYFUNCTION("IMPORTRANGE(""https://docs.google.com/spreadsheets/d/1SX6NBoVAgQJ6U1MVXOaj8PK2l7WJ3RER9xtqwdhxkhw/edit?usp=sharing"",""ฉะเชิงเทรา!J502"")"),1.0)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IFERROR(__xludf.DUMMYFUNCTION("IMPORTRANGE(""https://docs.google.com/spreadsheets/d/1SX6NBoVAgQJ6U1MVXOaj8PK2l7WJ3RER9xtqwdhxkhw/edit?usp=sharing"",""ฉะเชิงเทรา!J503"")"),0.0)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IFERROR(__xludf.DUMMYFUNCTION("IMPORTRANGE(""https://docs.google.com/spreadsheets/d/1SX6NBoVAgQJ6U1MVXOaj8PK2l7WJ3RER9xtqwdhxkhw/edit?usp=sharing"",""ฉะเชิงเทรา!J166"")"),0.0)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IFERROR(__xludf.DUMMYFUNCTION("IMPORTRANGE(""https://docs.google.com/spreadsheets/d/1SX6NBoVAgQJ6U1MVXOaj8PK2l7WJ3RER9xtqwdhxkhw/edit?usp=sharing"",""ฉะเชิงเทรา!J166"")"),0.0)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IFERROR(__xludf.DUMMYFUNCTION("IMPORTRANGE(""https://docs.google.com/spreadsheets/d/1SX6NBoVAgQJ6U1MVXOaj8PK2l7WJ3RER9xtqwdhxkhw/edit?usp=sharing"",""ฉะเชิงเทรา!I506"")"),52.0)</f>
        <v>52</v>
      </c>
      <c r="J611" s="195">
        <f>IFERROR(__xludf.DUMMYFUNCTION("IMPORTRANGE(""https://docs.google.com/spreadsheets/d/1SX6NBoVAgQJ6U1MVXOaj8PK2l7WJ3RER9xtqwdhxkhw/edit?usp=sharing"",""ฉะเชิงเทรา!J506"")"),0.0)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IFERROR(__xludf.DUMMYFUNCTION("IMPORTRANGE(""https://docs.google.com/spreadsheets/d/1SX6NBoVAgQJ6U1MVXOaj8PK2l7WJ3RER9xtqwdhxkhw/edit?usp=sharing"",""ฉะเชิงเทรา!I507"")"),0.0)</f>
        <v>0</v>
      </c>
      <c r="J612" s="232">
        <f>IFERROR(__xludf.DUMMYFUNCTION("IMPORTRANGE(""https://docs.google.com/spreadsheets/d/1SX6NBoVAgQJ6U1MVXOaj8PK2l7WJ3RER9xtqwdhxkhw/edit?usp=sharing"",""ฉะเชิงเทรา!J507"")"),0.0)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IFERROR(__xludf.DUMMYFUNCTION("IMPORTRANGE(""https://docs.google.com/spreadsheets/d/1SX6NBoVAgQJ6U1MVXOaj8PK2l7WJ3RER9xtqwdhxkhw/edit?usp=sharing"",""ฉะเชิงเทรา!I508"")"),0.0)</f>
        <v>0</v>
      </c>
      <c r="J613" s="232">
        <f>IFERROR(__xludf.DUMMYFUNCTION("IMPORTRANGE(""https://docs.google.com/spreadsheets/d/1SX6NBoVAgQJ6U1MVXOaj8PK2l7WJ3RER9xtqwdhxkhw/edit?usp=sharing"",""ฉะเชิงเทรา!J508"")"),0.0)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IFERROR(__xludf.DUMMYFUNCTION("IMPORTRANGE(""https://docs.google.com/spreadsheets/d/1SX6NBoVAgQJ6U1MVXOaj8PK2l7WJ3RER9xtqwdhxkhw/edit?usp=sharing"",""ฉะเชิงเทรา!I509"")"),0.0)</f>
        <v>0</v>
      </c>
      <c r="J614" s="232">
        <f>IFERROR(__xludf.DUMMYFUNCTION("IMPORTRANGE(""https://docs.google.com/spreadsheets/d/1SX6NBoVAgQJ6U1MVXOaj8PK2l7WJ3RER9xtqwdhxkhw/edit?usp=sharing"",""ฉะเชิงเทรา!J509"")"),0.0)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IFERROR(__xludf.DUMMYFUNCTION("IMPORTRANGE(""https://docs.google.com/spreadsheets/d/1SX6NBoVAgQJ6U1MVXOaj8PK2l7WJ3RER9xtqwdhxkhw/edit?usp=sharing"",""ฉะเชิงเทรา!I510"")"),0.0)</f>
        <v>0</v>
      </c>
      <c r="J615" s="232">
        <f>IFERROR(__xludf.DUMMYFUNCTION("IMPORTRANGE(""https://docs.google.com/spreadsheets/d/1SX6NBoVAgQJ6U1MVXOaj8PK2l7WJ3RER9xtqwdhxkhw/edit?usp=sharing"",""ฉะเชิงเทรา!J510"")"),0.0)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IFERROR(__xludf.DUMMYFUNCTION("IMPORTRANGE(""https://docs.google.com/spreadsheets/d/1SX6NBoVAgQJ6U1MVXOaj8PK2l7WJ3RER9xtqwdhxkhw/edit?usp=sharing"",""ฉะเชิงเทรา!I511"")"),0.0)</f>
        <v>0</v>
      </c>
      <c r="J616" s="232">
        <f>IFERROR(__xludf.DUMMYFUNCTION("IMPORTRANGE(""https://docs.google.com/spreadsheets/d/1SX6NBoVAgQJ6U1MVXOaj8PK2l7WJ3RER9xtqwdhxkhw/edit?usp=sharing"",""ฉะเชิงเทรา!J511"")"),0.0)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IFERROR(__xludf.DUMMYFUNCTION("IMPORTRANGE(""https://docs.google.com/spreadsheets/d/1SX6NBoVAgQJ6U1MVXOaj8PK2l7WJ3RER9xtqwdhxkhw/edit?usp=sharing"",""ฉะเชิงเทรา!I512"")"),0.0)</f>
        <v>0</v>
      </c>
      <c r="J617" s="222">
        <f>IFERROR(__xludf.DUMMYFUNCTION("IMPORTRANGE(""https://docs.google.com/spreadsheets/d/1SX6NBoVAgQJ6U1MVXOaj8PK2l7WJ3RER9xtqwdhxkhw/edit?usp=sharing"",""ฉะเชิงเทรา!J512"")"),0.0)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IFERROR(__xludf.DUMMYFUNCTION("IMPORTRANGE(""https://docs.google.com/spreadsheets/d/1SX6NBoVAgQJ6U1MVXOaj8PK2l7WJ3RER9xtqwdhxkhw/edit?usp=sharing"",""ฉะเชิงเทรา!I513"")"),0.0)</f>
        <v>0</v>
      </c>
      <c r="J618" s="223">
        <f>IFERROR(__xludf.DUMMYFUNCTION("IMPORTRANGE(""https://docs.google.com/spreadsheets/d/1SX6NBoVAgQJ6U1MVXOaj8PK2l7WJ3RER9xtqwdhxkhw/edit?usp=sharing"",""ฉะเชิงเทรา!J513"")"),0.0)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IFERROR(__xludf.DUMMYFUNCTION("IMPORTRANGE(""https://docs.google.com/spreadsheets/d/1SX6NBoVAgQJ6U1MVXOaj8PK2l7WJ3RER9xtqwdhxkhw/edit?usp=sharing"",""ฉะเชิงเทรา!I514"")"),0.0)</f>
        <v>0</v>
      </c>
      <c r="J619" s="223">
        <f>IFERROR(__xludf.DUMMYFUNCTION("IMPORTRANGE(""https://docs.google.com/spreadsheets/d/1SX6NBoVAgQJ6U1MVXOaj8PK2l7WJ3RER9xtqwdhxkhw/edit?usp=sharing"",""ฉะเชิงเทรา!J514"")"),0.0)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IFERROR(__xludf.DUMMYFUNCTION("IMPORTRANGE(""https://docs.google.com/spreadsheets/d/1SX6NBoVAgQJ6U1MVXOaj8PK2l7WJ3RER9xtqwdhxkhw/edit?usp=sharing"",""ฉะเชิงเทรา!I515"")"),0.0)</f>
        <v>0</v>
      </c>
      <c r="J620" s="237">
        <f>IFERROR(__xludf.DUMMYFUNCTION("IMPORTRANGE(""https://docs.google.com/spreadsheets/d/1SX6NBoVAgQJ6U1MVXOaj8PK2l7WJ3RER9xtqwdhxkhw/edit?usp=sharing"",""ฉะเชิงเทรา!J515"")"),0.0)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IFERROR(__xludf.DUMMYFUNCTION("IMPORTRANGE(""https://docs.google.com/spreadsheets/d/1SX6NBoVAgQJ6U1MVXOaj8PK2l7WJ3RER9xtqwdhxkhw/edit?usp=sharing"",""ฉะเชิงเทรา!I516"")"),0.0)</f>
        <v>0</v>
      </c>
      <c r="J621" s="237">
        <f>IFERROR(__xludf.DUMMYFUNCTION("IMPORTRANGE(""https://docs.google.com/spreadsheets/d/1SX6NBoVAgQJ6U1MVXOaj8PK2l7WJ3RER9xtqwdhxkhw/edit?usp=sharing"",""ฉะเชิงเทรา!J516"")"),0.0)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IFERROR(__xludf.DUMMYFUNCTION("IMPORTRANGE(""https://docs.google.com/spreadsheets/d/1SX6NBoVAgQJ6U1MVXOaj8PK2l7WJ3RER9xtqwdhxkhw/edit?usp=sharing"",""ฉะเชิงเทรา!I517"")"),0.0)</f>
        <v>0</v>
      </c>
      <c r="J622" s="223">
        <f>IFERROR(__xludf.DUMMYFUNCTION("IMPORTRANGE(""https://docs.google.com/spreadsheets/d/1SX6NBoVAgQJ6U1MVXOaj8PK2l7WJ3RER9xtqwdhxkhw/edit?usp=sharing"",""ฉะเชิงเทรา!J517"")"),0.0)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IFERROR(__xludf.DUMMYFUNCTION("IMPORTRANGE(""https://docs.google.com/spreadsheets/d/1SX6NBoVAgQJ6U1MVXOaj8PK2l7WJ3RER9xtqwdhxkhw/edit?usp=sharing"",""ฉะเชิงเทรา!I518"")"),0.0)</f>
        <v>0</v>
      </c>
      <c r="J623" s="223">
        <f>IFERROR(__xludf.DUMMYFUNCTION("IMPORTRANGE(""https://docs.google.com/spreadsheets/d/1SX6NBoVAgQJ6U1MVXOaj8PK2l7WJ3RER9xtqwdhxkhw/edit?usp=sharing"",""ฉะเชิงเทรา!J518"")"),0.0)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IFERROR(__xludf.DUMMYFUNCTION("IMPORTRANGE(""https://docs.google.com/spreadsheets/d/1SX6NBoVAgQJ6U1MVXOaj8PK2l7WJ3RER9xtqwdhxkhw/edit?usp=sharing"",""ฉะเชิงเทรา!I519"")"),0.0)</f>
        <v>0</v>
      </c>
      <c r="J624" s="222">
        <f>IFERROR(__xludf.DUMMYFUNCTION("IMPORTRANGE(""https://docs.google.com/spreadsheets/d/1SX6NBoVAgQJ6U1MVXOaj8PK2l7WJ3RER9xtqwdhxkhw/edit?usp=sharing"",""ฉะเชิงเทรา!J519"")"),0.0)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IFERROR(__xludf.DUMMYFUNCTION("IMPORTRANGE(""https://docs.google.com/spreadsheets/d/1SX6NBoVAgQJ6U1MVXOaj8PK2l7WJ3RER9xtqwdhxkhw/edit?usp=sharing"",""ฉะเชิงเทรา!I520"")"),0.0)</f>
        <v>0</v>
      </c>
      <c r="J625" s="223">
        <f>IFERROR(__xludf.DUMMYFUNCTION("IMPORTRANGE(""https://docs.google.com/spreadsheets/d/1SX6NBoVAgQJ6U1MVXOaj8PK2l7WJ3RER9xtqwdhxkhw/edit?usp=sharing"",""ฉะเชิงเทรา!J520"")"),0.0)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IFERROR(__xludf.DUMMYFUNCTION("IMPORTRANGE(""https://docs.google.com/spreadsheets/d/1SX6NBoVAgQJ6U1MVXOaj8PK2l7WJ3RER9xtqwdhxkhw/edit?usp=sharing"",""ฉะเชิงเทรา!I521"")"),0.0)</f>
        <v>0</v>
      </c>
      <c r="J626" s="223">
        <f>IFERROR(__xludf.DUMMYFUNCTION("IMPORTRANGE(""https://docs.google.com/spreadsheets/d/1SX6NBoVAgQJ6U1MVXOaj8PK2l7WJ3RER9xtqwdhxkhw/edit?usp=sharing"",""ฉะเชิงเทรา!J521"")"),0.0)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IFERROR(__xludf.DUMMYFUNCTION("IMPORTRANGE(""https://docs.google.com/spreadsheets/d/1SX6NBoVAgQJ6U1MVXOaj8PK2l7WJ3RER9xtqwdhxkhw/edit?usp=sharing"",""ฉะเชิงเทรา!I523"")"),3842037.07)</f>
        <v>3842037.07</v>
      </c>
      <c r="J628" s="374">
        <f>IFERROR(__xludf.DUMMYFUNCTION("IMPORTRANGE(""https://docs.google.com/spreadsheets/d/1SX6NBoVAgQJ6U1MVXOaj8PK2l7WJ3RER9xtqwdhxkhw/edit?usp=sharing"",""ฉะเชิงเทรา!J523"")"),1243420.05)</f>
        <v>1243420.05</v>
      </c>
      <c r="K628" s="375">
        <f t="shared" ref="K628:K635" si="130">IF(I628&gt;0,J628*100/I628,0)</f>
        <v>32.36356202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IFERROR(__xludf.DUMMYFUNCTION("IMPORTRANGE(""https://docs.google.com/spreadsheets/d/1SX6NBoVAgQJ6U1MVXOaj8PK2l7WJ3RER9xtqwdhxkhw/edit?usp=sharing"",""ฉะเชิงเทรา!I524"")"),157.0)</f>
        <v>157</v>
      </c>
      <c r="J629" s="374">
        <f>IFERROR(__xludf.DUMMYFUNCTION("IMPORTRANGE(""https://docs.google.com/spreadsheets/d/1SX6NBoVAgQJ6U1MVXOaj8PK2l7WJ3RER9xtqwdhxkhw/edit?usp=sharing"",""ฉะเชิงเทรา!J524"")"),49.0)</f>
        <v>49</v>
      </c>
      <c r="K629" s="375">
        <f t="shared" si="130"/>
        <v>31.21019108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IFERROR(__xludf.DUMMYFUNCTION("IMPORTRANGE(""https://docs.google.com/spreadsheets/d/1SX6NBoVAgQJ6U1MVXOaj8PK2l7WJ3RER9xtqwdhxkhw/edit?usp=sharing"",""ฉะเชิงเทรา!I525"")"),1.040738509E7)</f>
        <v>10407385.09</v>
      </c>
      <c r="J630" s="374">
        <f>IFERROR(__xludf.DUMMYFUNCTION("IMPORTRANGE(""https://docs.google.com/spreadsheets/d/1SX6NBoVAgQJ6U1MVXOaj8PK2l7WJ3RER9xtqwdhxkhw/edit?usp=sharing"",""ฉะเชิงเทรา!J525"")"),556587.4)</f>
        <v>556587.4</v>
      </c>
      <c r="K630" s="375">
        <f t="shared" si="130"/>
        <v>5.34800428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IFERROR(__xludf.DUMMYFUNCTION("IMPORTRANGE(""https://docs.google.com/spreadsheets/d/1SX6NBoVAgQJ6U1MVXOaj8PK2l7WJ3RER9xtqwdhxkhw/edit?usp=sharing"",""ฉะเชิงเทรา!I526"")"),275.0)</f>
        <v>275</v>
      </c>
      <c r="J631" s="374">
        <f>IFERROR(__xludf.DUMMYFUNCTION("IMPORTRANGE(""https://docs.google.com/spreadsheets/d/1SX6NBoVAgQJ6U1MVXOaj8PK2l7WJ3RER9xtqwdhxkhw/edit?usp=sharing"",""ฉะเชิงเทรา!J526"")"),60.0)</f>
        <v>60</v>
      </c>
      <c r="K631" s="375">
        <f t="shared" si="130"/>
        <v>21.81818182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IFERROR(__xludf.DUMMYFUNCTION("IMPORTRANGE(""https://docs.google.com/spreadsheets/d/1SX6NBoVAgQJ6U1MVXOaj8PK2l7WJ3RER9xtqwdhxkhw/edit?usp=sharing"",""ฉะเชิงเทรา!I527"")"),5666161.9)</f>
        <v>5666161.9</v>
      </c>
      <c r="J632" s="374">
        <f>IFERROR(__xludf.DUMMYFUNCTION("IMPORTRANGE(""https://docs.google.com/spreadsheets/d/1SX6NBoVAgQJ6U1MVXOaj8PK2l7WJ3RER9xtqwdhxkhw/edit?usp=sharing"",""ฉะเชิงเทรา!J527"")"),508929.16)</f>
        <v>508929.16</v>
      </c>
      <c r="K632" s="375">
        <f t="shared" si="130"/>
        <v>8.9819029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IFERROR(__xludf.DUMMYFUNCTION("IMPORTRANGE(""https://docs.google.com/spreadsheets/d/1SX6NBoVAgQJ6U1MVXOaj8PK2l7WJ3RER9xtqwdhxkhw/edit?usp=sharing"",""ฉะเชิงเทรา!I528"")"),2632.0)</f>
        <v>2632</v>
      </c>
      <c r="J633" s="374">
        <f>IFERROR(__xludf.DUMMYFUNCTION("IMPORTRANGE(""https://docs.google.com/spreadsheets/d/1SX6NBoVAgQJ6U1MVXOaj8PK2l7WJ3RER9xtqwdhxkhw/edit?usp=sharing"",""ฉะเชิงเทรา!J528"")"),204.0)</f>
        <v>204</v>
      </c>
      <c r="K633" s="375">
        <f t="shared" si="130"/>
        <v>7.750759878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IFERROR(__xludf.DUMMYFUNCTION("IMPORTRANGE(""https://docs.google.com/spreadsheets/d/1SX6NBoVAgQJ6U1MVXOaj8PK2l7WJ3RER9xtqwdhxkhw/edit?usp=sharing"",""ฉะเชิงเทรา!I529"")"),3000000.0)</f>
        <v>3000000</v>
      </c>
      <c r="J634" s="374">
        <f>IFERROR(__xludf.DUMMYFUNCTION("IMPORTRANGE(""https://docs.google.com/spreadsheets/d/1SX6NBoVAgQJ6U1MVXOaj8PK2l7WJ3RER9xtqwdhxkhw/edit?usp=sharing"",""ฉะเชิงเทรา!J529"")"),0.0)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IFERROR(__xludf.DUMMYFUNCTION("IMPORTRANGE(""https://docs.google.com/spreadsheets/d/1SX6NBoVAgQJ6U1MVXOaj8PK2l7WJ3RER9xtqwdhxkhw/edit?usp=sharing"",""ฉะเชิงเทรา!I530"")"),100.0)</f>
        <v>100</v>
      </c>
      <c r="J635" s="544">
        <f>IFERROR(__xludf.DUMMYFUNCTION("IMPORTRANGE(""https://docs.google.com/spreadsheets/d/1SX6NBoVAgQJ6U1MVXOaj8PK2l7WJ3RER9xtqwdhxkhw/edit?usp=sharing"",""ฉะเชิงเทรา!J530"")"),0.0)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245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5287494</v>
      </c>
      <c r="M8" s="41">
        <f t="shared" si="1"/>
        <v>1715358</v>
      </c>
      <c r="N8" s="41">
        <f t="shared" si="1"/>
        <v>1481259</v>
      </c>
      <c r="O8" s="40">
        <f t="shared" ref="O8:O16" si="3">IF(L8&gt;0,N8*100/L8,0)</f>
        <v>28.0143864</v>
      </c>
      <c r="P8" s="40">
        <f t="shared" ref="P8:P16" si="4">IF(M8&gt;0,N8*100/M8,0)</f>
        <v>86.35276135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5287494</v>
      </c>
      <c r="M10" s="48">
        <f t="shared" si="5"/>
        <v>1715358</v>
      </c>
      <c r="N10" s="48">
        <f t="shared" si="5"/>
        <v>1481259</v>
      </c>
      <c r="O10" s="47">
        <f t="shared" si="3"/>
        <v>28.0143864</v>
      </c>
      <c r="P10" s="47">
        <f t="shared" si="4"/>
        <v>86.35276135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4798094</v>
      </c>
      <c r="M12" s="58">
        <f t="shared" si="7"/>
        <v>1715358</v>
      </c>
      <c r="N12" s="58">
        <f t="shared" si="7"/>
        <v>994859</v>
      </c>
      <c r="O12" s="58">
        <f t="shared" si="3"/>
        <v>20.73446248</v>
      </c>
      <c r="P12" s="58">
        <f t="shared" si="4"/>
        <v>57.99716444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1866100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2931994</v>
      </c>
      <c r="M14" s="58">
        <f t="shared" si="9"/>
        <v>0</v>
      </c>
      <c r="N14" s="58">
        <f t="shared" si="9"/>
        <v>37591</v>
      </c>
      <c r="O14" s="61">
        <f t="shared" si="3"/>
        <v>1.282096757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489400</v>
      </c>
      <c r="M16" s="58">
        <f t="shared" si="11"/>
        <v>0</v>
      </c>
      <c r="N16" s="58">
        <f t="shared" si="11"/>
        <v>486400</v>
      </c>
      <c r="O16" s="70">
        <f t="shared" si="3"/>
        <v>99.3870045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3685960</v>
      </c>
      <c r="M18" s="41">
        <f t="shared" si="12"/>
        <v>1715358</v>
      </c>
      <c r="N18" s="41">
        <f t="shared" si="12"/>
        <v>1443668</v>
      </c>
      <c r="O18" s="40">
        <f t="shared" ref="O18:O20" si="14">IF(L18&gt;0,N18*100/L18,0)</f>
        <v>39.16667571</v>
      </c>
      <c r="P18" s="40">
        <f t="shared" ref="P18:P26" si="15">IF(M18&gt;0,N18*100/M18,0)</f>
        <v>84.16132376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3685960</v>
      </c>
      <c r="M20" s="48">
        <f t="shared" si="16"/>
        <v>1715358</v>
      </c>
      <c r="N20" s="48">
        <f t="shared" si="16"/>
        <v>1443668</v>
      </c>
      <c r="O20" s="47">
        <f t="shared" si="14"/>
        <v>39.16667571</v>
      </c>
      <c r="P20" s="47">
        <f t="shared" si="15"/>
        <v>84.16132376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3196560</v>
      </c>
      <c r="M22" s="62">
        <f t="shared" si="18"/>
        <v>1715358</v>
      </c>
      <c r="N22" s="61">
        <f t="shared" si="18"/>
        <v>957268</v>
      </c>
      <c r="O22" s="61">
        <f t="shared" si="19"/>
        <v>29.94681783</v>
      </c>
      <c r="P22" s="61">
        <f t="shared" si="15"/>
        <v>55.80572685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1866100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1330460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489400</v>
      </c>
      <c r="M26" s="70">
        <f t="shared" si="23"/>
        <v>0</v>
      </c>
      <c r="N26" s="70">
        <f t="shared" si="23"/>
        <v>486400</v>
      </c>
      <c r="O26" s="70">
        <f t="shared" si="19"/>
        <v>99.3870045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1601534</v>
      </c>
      <c r="M28" s="41">
        <f t="shared" si="24"/>
        <v>0</v>
      </c>
      <c r="N28" s="41">
        <f t="shared" si="24"/>
        <v>37591</v>
      </c>
      <c r="O28" s="40">
        <f t="shared" ref="O28:O30" si="26">IF(L28&gt;0,N28*100/L28,0)</f>
        <v>2.347187134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1601534</v>
      </c>
      <c r="M30" s="48">
        <f t="shared" si="28"/>
        <v>0</v>
      </c>
      <c r="N30" s="48">
        <f t="shared" si="28"/>
        <v>37591</v>
      </c>
      <c r="O30" s="47">
        <f t="shared" si="26"/>
        <v>2.347187134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1601534</v>
      </c>
      <c r="M32" s="61">
        <f t="shared" si="30"/>
        <v>0</v>
      </c>
      <c r="N32" s="61">
        <f t="shared" si="30"/>
        <v>37591</v>
      </c>
      <c r="O32" s="61">
        <f t="shared" si="31"/>
        <v>2.347187134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1601534</v>
      </c>
      <c r="M34" s="61">
        <f t="shared" si="33"/>
        <v>0</v>
      </c>
      <c r="N34" s="61">
        <f t="shared" si="33"/>
        <v>37591</v>
      </c>
      <c r="O34" s="61">
        <f t="shared" si="31"/>
        <v>2.347187134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3685960</v>
      </c>
      <c r="M37" s="75">
        <f t="shared" si="34"/>
        <v>1715358</v>
      </c>
      <c r="N37" s="75">
        <f t="shared" si="34"/>
        <v>1443668</v>
      </c>
      <c r="O37" s="76">
        <f t="shared" si="31"/>
        <v>39.16667571</v>
      </c>
      <c r="P37" s="76">
        <f t="shared" si="27"/>
        <v>84.16132376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1074100</v>
      </c>
      <c r="M41" s="102">
        <f t="shared" si="35"/>
        <v>352100</v>
      </c>
      <c r="N41" s="102">
        <f t="shared" si="35"/>
        <v>642042</v>
      </c>
      <c r="O41" s="101">
        <f t="shared" ref="O41:O43" si="37">IF(L41&gt;0,N41*100/L41,0)</f>
        <v>59.7748813</v>
      </c>
      <c r="P41" s="101">
        <f t="shared" ref="P41:P43" si="38">IF(M41&gt;0,N41*100/M41,0)</f>
        <v>182.3464925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1074100</v>
      </c>
      <c r="M43" s="102">
        <f t="shared" si="39"/>
        <v>352100</v>
      </c>
      <c r="N43" s="102">
        <f t="shared" si="39"/>
        <v>642042</v>
      </c>
      <c r="O43" s="101">
        <f t="shared" si="37"/>
        <v>59.7748813</v>
      </c>
      <c r="P43" s="101">
        <f t="shared" si="38"/>
        <v>182.3464925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704100</v>
      </c>
      <c r="M45" s="115">
        <f>IFERROR(__xludf.DUMMYFUNCTION("IMPORTRANGE(""https://docs.google.com/spreadsheets/d/1Yj_ptqi66GCucihVvJfMjLAmec39IyEx_6qawtMGysU/edit?usp=sharing"",""สบก!Q62"")"),352100.0)</f>
        <v>352100</v>
      </c>
      <c r="N45" s="115">
        <f>IFERROR(__xludf.DUMMYFUNCTION("IMPORTRANGE(""https://docs.google.com/spreadsheets/d/1Yj_ptqi66GCucihVvJfMjLAmec39IyEx_6qawtMGysU/edit?usp=sharing"",""สบก!R62"")"),275042.0)</f>
        <v>275042</v>
      </c>
      <c r="O45" s="116">
        <f>IF(L45&gt;0,N45*100/L45,0)</f>
        <v>39.0629172</v>
      </c>
      <c r="P45" s="116">
        <f>IF(M45&gt;0,N45*100/M45,0)</f>
        <v>78.11474013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IFERROR(__xludf.DUMMYFUNCTION("IMPORTRANGE(""https://docs.google.com/spreadsheets/d/1Yj_ptqi66GCucihVvJfMjLAmec39IyEx_6qawtMGysU/edit?usp=sharing"",""สบก!M62"")"),704100.0)</f>
        <v>704100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IFERROR(__xludf.DUMMYFUNCTION("IMPORTRANGE(""https://docs.google.com/spreadsheets/d/1Yj_ptqi66GCucihVvJfMjLAmec39IyEx_6qawtMGysU/edit?usp=sharing"",""สบก!N62"")"),0.0)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IFERROR(__xludf.DUMMYFUNCTION("IMPORTRANGE(""https://docs.google.com/spreadsheets/d/1Yj_ptqi66GCucihVvJfMjLAmec39IyEx_6qawtMGysU/edit?usp=sharing"",""สบก!O62"")"),370000.0)</f>
        <v>370000</v>
      </c>
      <c r="M49" s="125"/>
      <c r="N49" s="115">
        <f>IFERROR(__xludf.DUMMYFUNCTION("IMPORTRANGE(""https://docs.google.com/spreadsheets/d/1Yj_ptqi66GCucihVvJfMjLAmec39IyEx_6qawtMGysU/edit?usp=sharing"",""สบก!S62"")"),367000.0)</f>
        <v>367000</v>
      </c>
      <c r="O49" s="125">
        <f>IF(L49&gt;0,N49*100/L49,0)</f>
        <v>99.18918919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560000</v>
      </c>
      <c r="M53" s="151">
        <f t="shared" si="40"/>
        <v>288818</v>
      </c>
      <c r="N53" s="151">
        <f t="shared" si="40"/>
        <v>192847</v>
      </c>
      <c r="O53" s="150">
        <f t="shared" ref="O53:O55" si="42">IF(L53&gt;0,N53*100/L53,0)</f>
        <v>34.43696429</v>
      </c>
      <c r="P53" s="150">
        <f t="shared" ref="P53:P55" si="43">IF(M53&gt;0,N53*100/M53,0)</f>
        <v>66.77111537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560000</v>
      </c>
      <c r="M55" s="151">
        <f t="shared" si="44"/>
        <v>288818</v>
      </c>
      <c r="N55" s="151">
        <f t="shared" si="44"/>
        <v>192847</v>
      </c>
      <c r="O55" s="150">
        <f t="shared" si="42"/>
        <v>34.43696429</v>
      </c>
      <c r="P55" s="150">
        <f t="shared" si="43"/>
        <v>66.77111537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560000</v>
      </c>
      <c r="M57" s="115">
        <f>IFERROR(__xludf.DUMMYFUNCTION("IMPORTRANGE(""https://docs.google.com/spreadsheets/d/1Yj_ptqi66GCucihVvJfMjLAmec39IyEx_6qawtMGysU/edit?usp=sharing"",""สบก!Z62"")"),288818.0)</f>
        <v>288818</v>
      </c>
      <c r="N57" s="115">
        <f>IFERROR(__xludf.DUMMYFUNCTION("IMPORTRANGE(""https://docs.google.com/spreadsheets/d/1Yj_ptqi66GCucihVvJfMjLAmec39IyEx_6qawtMGysU/edit?usp=sharing"",""สบก!AA62"")"),192847.0)</f>
        <v>192847</v>
      </c>
      <c r="O57" s="116">
        <f>IF(L57&gt;0,N57*100/L57,0)</f>
        <v>34.43696429</v>
      </c>
      <c r="P57" s="116">
        <f>IF(M57&gt;0,N57*100/M57,0)</f>
        <v>66.77111537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IFERROR(__xludf.DUMMYFUNCTION("IMPORTRANGE(""https://docs.google.com/spreadsheets/d/1Yj_ptqi66GCucihVvJfMjLAmec39IyEx_6qawtMGysU/edit?usp=sharing"",""สบก!V62"")"),560000.0)</f>
        <v>560000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IFERROR(__xludf.DUMMYFUNCTION("IMPORTRANGE(""https://docs.google.com/spreadsheets/d/1Yj_ptqi66GCucihVvJfMjLAmec39IyEx_6qawtMGysU/edit?usp=sharing"",""สบก!W62"")"),0.0)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IFERROR(__xludf.DUMMYFUNCTION("IMPORTRANGE(""https://docs.google.com/spreadsheets/d/1Yj_ptqi66GCucihVvJfMjLAmec39IyEx_6qawtMGysU/edit?usp=sharing"",""สบก!X62"")"),0.0)</f>
        <v>0</v>
      </c>
      <c r="M61" s="125"/>
      <c r="N61" s="115">
        <f>IFERROR(__xludf.DUMMYFUNCTION("IMPORTRANGE(""https://docs.google.com/spreadsheets/d/1Yj_ptqi66GCucihVvJfMjLAmec39IyEx_6qawtMGysU/edit?usp=sharing"",""สบก!AB62"")"),0.0)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IFERROR(__xludf.DUMMYFUNCTION("IMPORTRANGE(""https://docs.google.com/spreadsheets/d/1SX6NBoVAgQJ6U1MVXOaj8PK2l7WJ3RER9xtqwdhxkhw/edit?usp=sharing"",""ชลบุรี!I9"")"),0.0)</f>
        <v>0</v>
      </c>
      <c r="J64" s="172">
        <f>IFERROR(__xludf.DUMMYFUNCTION("IMPORTRANGE(""https://docs.google.com/spreadsheets/d/1SX6NBoVAgQJ6U1MVXOaj8PK2l7WJ3RER9xtqwdhxkhw/edit?usp=sharing"",""ชลบุรี!J9"")"),0.0)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IFERROR(__xludf.DUMMYFUNCTION("IMPORTRANGE(""https://docs.google.com/spreadsheets/d/1SX6NBoVAgQJ6U1MVXOaj8PK2l7WJ3RER9xtqwdhxkhw/edit?usp=sharing"",""ชลบุรี!I10"")"),0.0)</f>
        <v>0</v>
      </c>
      <c r="J65" s="172">
        <f>IFERROR(__xludf.DUMMYFUNCTION("IMPORTRANGE(""https://docs.google.com/spreadsheets/d/1SX6NBoVAgQJ6U1MVXOaj8PK2l7WJ3RER9xtqwdhxkhw/edit?usp=sharing"",""ชลบุรี!J10"")"),0.0)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IFERROR(__xludf.DUMMYFUNCTION("IMPORTRANGE(""https://docs.google.com/spreadsheets/d/1Yj_ptqi66GCucihVvJfMjLAmec39IyEx_6qawtMGysU/edit?usp=sharing"",""สบก!AI62"")"),0.0)</f>
        <v>0</v>
      </c>
      <c r="N70" s="202">
        <f>IFERROR(__xludf.DUMMYFUNCTION("IMPORTRANGE(""https://docs.google.com/spreadsheets/d/1Yj_ptqi66GCucihVvJfMjLAmec39IyEx_6qawtMGysU/edit?usp=sharing"",""สบก!AJ62"")"),0.0)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IFERROR(__xludf.DUMMYFUNCTION("IMPORTRANGE(""https://docs.google.com/spreadsheets/d/1Yj_ptqi66GCucihVvJfMjLAmec39IyEx_6qawtMGysU/edit?usp=sharing"",""สบก!AE62"")"),0.0)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IFERROR(__xludf.DUMMYFUNCTION("IMPORTRANGE(""https://docs.google.com/spreadsheets/d/1Yj_ptqi66GCucihVvJfMjLAmec39IyEx_6qawtMGysU/edit?usp=sharing"",""สบก!AF62"")"),0.0)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IFERROR(__xludf.DUMMYFUNCTION("IMPORTRANGE(""https://docs.google.com/spreadsheets/d/1Yj_ptqi66GCucihVvJfMjLAmec39IyEx_6qawtMGysU/edit?usp=sharing"",""สบก!AG62"")"),0.0)</f>
        <v>0</v>
      </c>
      <c r="M74" s="125"/>
      <c r="N74" s="115">
        <f>IFERROR(__xludf.DUMMYFUNCTION("IMPORTRANGE(""https://docs.google.com/spreadsheets/d/1Yj_ptqi66GCucihVvJfMjLAmec39IyEx_6qawtMGysU/edit?usp=sharing"",""สบก!AK62"")"),0.0)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IFERROR(__xludf.DUMMYFUNCTION("IMPORTRANGE(""https://docs.google.com/spreadsheets/d/1SX6NBoVAgQJ6U1MVXOaj8PK2l7WJ3RER9xtqwdhxkhw/edit?usp=sharing"",""ชลบุรี!J16"")"),0.0)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IFERROR(__xludf.DUMMYFUNCTION("IMPORTRANGE(""https://docs.google.com/spreadsheets/d/1SX6NBoVAgQJ6U1MVXOaj8PK2l7WJ3RER9xtqwdhxkhw/edit?usp=sharing"",""ชลบุรี!J17"")"),0.0)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IFERROR(__xludf.DUMMYFUNCTION("IMPORTRANGE(""https://docs.google.com/spreadsheets/d/1SX6NBoVAgQJ6U1MVXOaj8PK2l7WJ3RER9xtqwdhxkhw/edit?usp=sharing"",""ชลบุรี!J18"")"),0.0)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IFERROR(__xludf.DUMMYFUNCTION("IMPORTRANGE(""https://docs.google.com/spreadsheets/d/1SX6NBoVAgQJ6U1MVXOaj8PK2l7WJ3RER9xtqwdhxkhw/edit?usp=sharing"",""ชลบุรี!J19"")"),0.0)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IFERROR(__xludf.DUMMYFUNCTION("IMPORTRANGE(""https://docs.google.com/spreadsheets/d/1SX6NBoVAgQJ6U1MVXOaj8PK2l7WJ3RER9xtqwdhxkhw/edit?usp=sharing"",""ชลบุรี!I20"")"),0.0)</f>
        <v>0</v>
      </c>
      <c r="J80" s="235">
        <f>IFERROR(__xludf.DUMMYFUNCTION("IMPORTRANGE(""https://docs.google.com/spreadsheets/d/1SX6NBoVAgQJ6U1MVXOaj8PK2l7WJ3RER9xtqwdhxkhw/edit?usp=sharing"",""ชลบุรี!J20"")"),0.0)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IFERROR(__xludf.DUMMYFUNCTION("IMPORTRANGE(""https://docs.google.com/spreadsheets/d/1SX6NBoVAgQJ6U1MVXOaj8PK2l7WJ3RER9xtqwdhxkhw/edit?usp=sharing"",""ชลบุรี!I21"")"),0.0)</f>
        <v>0</v>
      </c>
      <c r="J81" s="235">
        <f>IFERROR(__xludf.DUMMYFUNCTION("IMPORTRANGE(""https://docs.google.com/spreadsheets/d/1SX6NBoVAgQJ6U1MVXOaj8PK2l7WJ3RER9xtqwdhxkhw/edit?usp=sharing"",""ชลบุรี!J21"")"),0.0)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IFERROR(__xludf.DUMMYFUNCTION("IMPORTRANGE(""https://docs.google.com/spreadsheets/d/1SX6NBoVAgQJ6U1MVXOaj8PK2l7WJ3RER9xtqwdhxkhw/edit?usp=sharing"",""ชลบุรี!I22"")"),0.0)</f>
        <v>0</v>
      </c>
      <c r="J82" s="238">
        <f>IFERROR(__xludf.DUMMYFUNCTION("IMPORTRANGE(""https://docs.google.com/spreadsheets/d/1SX6NBoVAgQJ6U1MVXOaj8PK2l7WJ3RER9xtqwdhxkhw/edit?usp=sharing"",""ชลบุรี!J22"")"),0.0)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IFERROR(__xludf.DUMMYFUNCTION("IMPORTRANGE(""https://docs.google.com/spreadsheets/d/1SX6NBoVAgQJ6U1MVXOaj8PK2l7WJ3RER9xtqwdhxkhw/edit?usp=sharing"",""ชลบุรี!I23"")"),0.0)</f>
        <v>0</v>
      </c>
      <c r="J83" s="238">
        <f>IFERROR(__xludf.DUMMYFUNCTION("IMPORTRANGE(""https://docs.google.com/spreadsheets/d/1SX6NBoVAgQJ6U1MVXOaj8PK2l7WJ3RER9xtqwdhxkhw/edit?usp=sharing"",""ชลบุรี!J23"")"),0.0)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IFERROR(__xludf.DUMMYFUNCTION("IMPORTRANGE(""https://docs.google.com/spreadsheets/d/1SX6NBoVAgQJ6U1MVXOaj8PK2l7WJ3RER9xtqwdhxkhw/edit?usp=sharing"",""ชลบุรี!I24"")"),0.0)</f>
        <v>0</v>
      </c>
      <c r="J84" s="223">
        <f>IFERROR(__xludf.DUMMYFUNCTION("IMPORTRANGE(""https://docs.google.com/spreadsheets/d/1SX6NBoVAgQJ6U1MVXOaj8PK2l7WJ3RER9xtqwdhxkhw/edit?usp=sharing"",""ชลบุรี!J24"")"),0.0)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IFERROR(__xludf.DUMMYFUNCTION("IMPORTRANGE(""https://docs.google.com/spreadsheets/d/1SX6NBoVAgQJ6U1MVXOaj8PK2l7WJ3RER9xtqwdhxkhw/edit?usp=sharing"",""ชลบุรี!I25"")"),0.0)</f>
        <v>0</v>
      </c>
      <c r="J85" s="223">
        <f>IFERROR(__xludf.DUMMYFUNCTION("IMPORTRANGE(""https://docs.google.com/spreadsheets/d/1SX6NBoVAgQJ6U1MVXOaj8PK2l7WJ3RER9xtqwdhxkhw/edit?usp=sharing"",""ชลบุรี!J25"")"),0.0)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IFERROR(__xludf.DUMMYFUNCTION("IMPORTRANGE(""https://docs.google.com/spreadsheets/d/1SX6NBoVAgQJ6U1MVXOaj8PK2l7WJ3RER9xtqwdhxkhw/edit?usp=sharing"",""ชลบุรี!I26"")"),0.0)</f>
        <v>0</v>
      </c>
      <c r="J86" s="238">
        <f>IFERROR(__xludf.DUMMYFUNCTION("IMPORTRANGE(""https://docs.google.com/spreadsheets/d/1SX6NBoVAgQJ6U1MVXOaj8PK2l7WJ3RER9xtqwdhxkhw/edit?usp=sharing"",""ชลบุรี!J26"")"),0.0)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IFERROR(__xludf.DUMMYFUNCTION("IMPORTRANGE(""https://docs.google.com/spreadsheets/d/1SX6NBoVAgQJ6U1MVXOaj8PK2l7WJ3RER9xtqwdhxkhw/edit?usp=sharing"",""ชลบุรี!I27"")"),0.0)</f>
        <v>0</v>
      </c>
      <c r="J87" s="238">
        <f>IFERROR(__xludf.DUMMYFUNCTION("IMPORTRANGE(""https://docs.google.com/spreadsheets/d/1SX6NBoVAgQJ6U1MVXOaj8PK2l7WJ3RER9xtqwdhxkhw/edit?usp=sharing"",""ชลบุรี!J27"")"),0.0)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IFERROR(__xludf.DUMMYFUNCTION("IMPORTRANGE(""https://docs.google.com/spreadsheets/d/1SX6NBoVAgQJ6U1MVXOaj8PK2l7WJ3RER9xtqwdhxkhw/edit?usp=sharing"",""ชลบุรี!I28"")"),0.0)</f>
        <v>0</v>
      </c>
      <c r="J88" s="238">
        <f>IFERROR(__xludf.DUMMYFUNCTION("IMPORTRANGE(""https://docs.google.com/spreadsheets/d/1SX6NBoVAgQJ6U1MVXOaj8PK2l7WJ3RER9xtqwdhxkhw/edit?usp=sharing"",""ชลบุรี!J28"")"),0.0)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IFERROR(__xludf.DUMMYFUNCTION("IMPORTRANGE(""https://docs.google.com/spreadsheets/d/1SX6NBoVAgQJ6U1MVXOaj8PK2l7WJ3RER9xtqwdhxkhw/edit?usp=sharing"",""ชลบุรี!J29"")"),0.0)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IFERROR(__xludf.DUMMYFUNCTION("IMPORTRANGE(""https://docs.google.com/spreadsheets/d/1SX6NBoVAgQJ6U1MVXOaj8PK2l7WJ3RER9xtqwdhxkhw/edit?usp=sharing"",""ชลบุรี!J30"")"),0.0)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IFERROR(__xludf.DUMMYFUNCTION("IMPORTRANGE(""https://docs.google.com/spreadsheets/d/1SX6NBoVAgQJ6U1MVXOaj8PK2l7WJ3RER9xtqwdhxkhw/edit?usp=sharing"",""ชลบุรี!I32"")"),4.0)</f>
        <v>4</v>
      </c>
      <c r="J92" s="172">
        <f>IFERROR(__xludf.DUMMYFUNCTION("IMPORTRANGE(""https://docs.google.com/spreadsheets/d/1SX6NBoVAgQJ6U1MVXOaj8PK2l7WJ3RER9xtqwdhxkhw/edit?usp=sharing"",""ชลบุรี!J32"")"),0.0)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IFERROR(__xludf.DUMMYFUNCTION("IMPORTRANGE(""https://docs.google.com/spreadsheets/d/1SX6NBoVAgQJ6U1MVXOaj8PK2l7WJ3RER9xtqwdhxkhw/edit?usp=sharing"",""ชลบุรี!I33"")"),1.0)</f>
        <v>1</v>
      </c>
      <c r="J93" s="172">
        <f>IFERROR(__xludf.DUMMYFUNCTION("IMPORTRANGE(""https://docs.google.com/spreadsheets/d/1SX6NBoVAgQJ6U1MVXOaj8PK2l7WJ3RER9xtqwdhxkhw/edit?usp=sharing"",""ชลบุรี!J33"")"),0.0)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133949</v>
      </c>
      <c r="O94" s="182">
        <f t="shared" ref="O94:O96" si="55">IF(L94&gt;0,N94*100/L94,0)</f>
        <v>62.44708625</v>
      </c>
      <c r="P94" s="182">
        <f t="shared" ref="P94:P96" si="56">IF(M94&gt;0,N94*100/M94,0)</f>
        <v>194.8916048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133949</v>
      </c>
      <c r="O96" s="187">
        <f t="shared" si="55"/>
        <v>62.44708625</v>
      </c>
      <c r="P96" s="187">
        <f t="shared" si="56"/>
        <v>194.8916048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IFERROR(__xludf.DUMMYFUNCTION("IMPORTRANGE(""https://docs.google.com/spreadsheets/d/1Yj_ptqi66GCucihVvJfMjLAmec39IyEx_6qawtMGysU/edit?usp=sharing"",""สบก!AR62"")"),68730.0)</f>
        <v>68730</v>
      </c>
      <c r="N98" s="202">
        <f>IFERROR(__xludf.DUMMYFUNCTION("IMPORTRANGE(""https://docs.google.com/spreadsheets/d/1Yj_ptqi66GCucihVvJfMjLAmec39IyEx_6qawtMGysU/edit?usp=sharing"",""สบก!AS62"")"),41549.0)</f>
        <v>41549</v>
      </c>
      <c r="O98" s="203">
        <f>IF(L98&gt;0,N98*100/L98,0)</f>
        <v>34.02866503</v>
      </c>
      <c r="P98" s="203">
        <f>IF(M98&gt;0,N98*100/M98,0)</f>
        <v>60.45249527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IFERROR(__xludf.DUMMYFUNCTION("IMPORTRANGE(""https://docs.google.com/spreadsheets/d/1Yj_ptqi66GCucihVvJfMjLAmec39IyEx_6qawtMGysU/edit?usp=sharing"",""สบก!AN62"")"),0.0)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IFERROR(__xludf.DUMMYFUNCTION("IMPORTRANGE(""https://docs.google.com/spreadsheets/d/1Yj_ptqi66GCucihVvJfMjLAmec39IyEx_6qawtMGysU/edit?usp=sharing"",""สบก!AO62"")"),122100.0)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IFERROR(__xludf.DUMMYFUNCTION("IMPORTRANGE(""https://docs.google.com/spreadsheets/d/1Yj_ptqi66GCucihVvJfMjLAmec39IyEx_6qawtMGysU/edit?usp=sharing"",""สบก!AP62"")"),92400.0)</f>
        <v>92400</v>
      </c>
      <c r="M102" s="125"/>
      <c r="N102" s="115">
        <f>IFERROR(__xludf.DUMMYFUNCTION("IMPORTRANGE(""https://docs.google.com/spreadsheets/d/1Yj_ptqi66GCucihVvJfMjLAmec39IyEx_6qawtMGysU/edit?usp=sharing"",""สบก!AT62"")"),92400.0)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IFERROR(__xludf.DUMMYFUNCTION("IMPORTRANGE(""https://docs.google.com/spreadsheets/d/1SX6NBoVAgQJ6U1MVXOaj8PK2l7WJ3RER9xtqwdhxkhw/edit?usp=sharing"",""ชลบุรี!J39"")"),0.0)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IFERROR(__xludf.DUMMYFUNCTION("IMPORTRANGE(""https://docs.google.com/spreadsheets/d/1SX6NBoVAgQJ6U1MVXOaj8PK2l7WJ3RER9xtqwdhxkhw/edit?usp=sharing"",""ชลบุรี!J40"")"),1.0)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IFERROR(__xludf.DUMMYFUNCTION("IMPORTRANGE(""https://docs.google.com/spreadsheets/d/1SX6NBoVAgQJ6U1MVXOaj8PK2l7WJ3RER9xtqwdhxkhw/edit?usp=sharing"",""ชลบุรี!J41"")"),1.0)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IFERROR(__xludf.DUMMYFUNCTION("IMPORTRANGE(""https://docs.google.com/spreadsheets/d/1SX6NBoVAgQJ6U1MVXOaj8PK2l7WJ3RER9xtqwdhxkhw/edit?usp=sharing"",""ชลบุรี!J42"")"),0.0)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IFERROR(__xludf.DUMMYFUNCTION("IMPORTRANGE(""https://docs.google.com/spreadsheets/d/1SX6NBoVAgQJ6U1MVXOaj8PK2l7WJ3RER9xtqwdhxkhw/edit?usp=sharing"",""ชลบุรี!I43"")"),1.0)</f>
        <v>1</v>
      </c>
      <c r="J108" s="238">
        <f>IFERROR(__xludf.DUMMYFUNCTION("IMPORTRANGE(""https://docs.google.com/spreadsheets/d/1SX6NBoVAgQJ6U1MVXOaj8PK2l7WJ3RER9xtqwdhxkhw/edit?usp=sharing"",""ชลบุรี!J43"")"),0.0)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IFERROR(__xludf.DUMMYFUNCTION("IMPORTRANGE(""https://docs.google.com/spreadsheets/d/1SX6NBoVAgQJ6U1MVXOaj8PK2l7WJ3RER9xtqwdhxkhw/edit?usp=sharing"",""ชลบุรี!I44"")"),4.0)</f>
        <v>4</v>
      </c>
      <c r="J109" s="238">
        <f>IFERROR(__xludf.DUMMYFUNCTION("IMPORTRANGE(""https://docs.google.com/spreadsheets/d/1SX6NBoVAgQJ6U1MVXOaj8PK2l7WJ3RER9xtqwdhxkhw/edit?usp=sharing"",""ชลบุรี!J44"")"),0.0)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IFERROR(__xludf.DUMMYFUNCTION("IMPORTRANGE(""https://docs.google.com/spreadsheets/d/1SX6NBoVAgQJ6U1MVXOaj8PK2l7WJ3RER9xtqwdhxkhw/edit?usp=sharing"",""ชลบุรี!I45"")"),4.0)</f>
        <v>4</v>
      </c>
      <c r="J110" s="238">
        <f>IFERROR(__xludf.DUMMYFUNCTION("IMPORTRANGE(""https://docs.google.com/spreadsheets/d/1SX6NBoVAgQJ6U1MVXOaj8PK2l7WJ3RER9xtqwdhxkhw/edit?usp=sharing"",""ชลบุรี!J45"")"),0.0)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IFERROR(__xludf.DUMMYFUNCTION("IMPORTRANGE(""https://docs.google.com/spreadsheets/d/1SX6NBoVAgQJ6U1MVXOaj8PK2l7WJ3RER9xtqwdhxkhw/edit?usp=sharing"",""ชลบุรี!I46"")"),4.0)</f>
        <v>4</v>
      </c>
      <c r="J111" s="238">
        <f>IFERROR(__xludf.DUMMYFUNCTION("IMPORTRANGE(""https://docs.google.com/spreadsheets/d/1SX6NBoVAgQJ6U1MVXOaj8PK2l7WJ3RER9xtqwdhxkhw/edit?usp=sharing"",""ชลบุรี!J46"")"),0.0)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IFERROR(__xludf.DUMMYFUNCTION("IMPORTRANGE(""https://docs.google.com/spreadsheets/d/1SX6NBoVAgQJ6U1MVXOaj8PK2l7WJ3RER9xtqwdhxkhw/edit?usp=sharing"",""ชลบุรี!I47"")"),4.0)</f>
        <v>4</v>
      </c>
      <c r="J112" s="238">
        <f>IFERROR(__xludf.DUMMYFUNCTION("IMPORTRANGE(""https://docs.google.com/spreadsheets/d/1SX6NBoVAgQJ6U1MVXOaj8PK2l7WJ3RER9xtqwdhxkhw/edit?usp=sharing"",""ชลบุรี!J47"")"),0.0)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IFERROR(__xludf.DUMMYFUNCTION("IMPORTRANGE(""https://docs.google.com/spreadsheets/d/1SX6NBoVAgQJ6U1MVXOaj8PK2l7WJ3RER9xtqwdhxkhw/edit?usp=sharing"",""ชลบุรี!I48"")"),1.0)</f>
        <v>1</v>
      </c>
      <c r="J113" s="238">
        <f>IFERROR(__xludf.DUMMYFUNCTION("IMPORTRANGE(""https://docs.google.com/spreadsheets/d/1SX6NBoVAgQJ6U1MVXOaj8PK2l7WJ3RER9xtqwdhxkhw/edit?usp=sharing"",""ชลบุรี!J48"")"),0.0)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IFERROR(__xludf.DUMMYFUNCTION("IMPORTRANGE(""https://docs.google.com/spreadsheets/d/1SX6NBoVAgQJ6U1MVXOaj8PK2l7WJ3RER9xtqwdhxkhw/edit?usp=sharing"",""ชลบุรี!J49"")"),0.0)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IFERROR(__xludf.DUMMYFUNCTION("IMPORTRANGE(""https://docs.google.com/spreadsheets/d/1SX6NBoVAgQJ6U1MVXOaj8PK2l7WJ3RER9xtqwdhxkhw/edit?usp=sharing"",""ชลบุรี!J50"")"),0.0)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IFERROR(__xludf.DUMMYFUNCTION("IMPORTRANGE(""https://docs.google.com/spreadsheets/d/1SX6NBoVAgQJ6U1MVXOaj8PK2l7WJ3RER9xtqwdhxkhw/edit?usp=sharing"",""ชลบุรี!I52"")"),20.0)</f>
        <v>20</v>
      </c>
      <c r="J117" s="172">
        <f>IFERROR(__xludf.DUMMYFUNCTION("IMPORTRANGE(""https://docs.google.com/spreadsheets/d/1SX6NBoVAgQJ6U1MVXOaj8PK2l7WJ3RER9xtqwdhxkhw/edit?usp=sharing"",""ชลบุรี!J52"")"),20.0)</f>
        <v>20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29134</v>
      </c>
      <c r="O118" s="182">
        <f t="shared" ref="O118:O120" si="61">IF(L118&gt;0,N118*100/L118,0)</f>
        <v>35.33964095</v>
      </c>
      <c r="P118" s="182">
        <f t="shared" ref="P118:P120" si="62">IF(M118&gt;0,N118*100/M118,0)</f>
        <v>43.85009031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29134</v>
      </c>
      <c r="O120" s="187">
        <f t="shared" si="61"/>
        <v>35.33964095</v>
      </c>
      <c r="P120" s="187">
        <f t="shared" si="62"/>
        <v>43.85009031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IFERROR(__xludf.DUMMYFUNCTION("IMPORTRANGE(""https://docs.google.com/spreadsheets/d/1Yj_ptqi66GCucihVvJfMjLAmec39IyEx_6qawtMGysU/edit?usp=sharing"",""สบก!BA62"")"),66440.0)</f>
        <v>66440</v>
      </c>
      <c r="N122" s="202">
        <f>IFERROR(__xludf.DUMMYFUNCTION("IMPORTRANGE(""https://docs.google.com/spreadsheets/d/1Yj_ptqi66GCucihVvJfMjLAmec39IyEx_6qawtMGysU/edit?usp=sharing"",""สบก!BB62"")"),29134.0)</f>
        <v>29134</v>
      </c>
      <c r="O122" s="203">
        <f>IF(L122&gt;0,N122*100/L122,0)</f>
        <v>35.33964095</v>
      </c>
      <c r="P122" s="203">
        <f>IF(M122&gt;0,N122*100/M122,0)</f>
        <v>43.85009031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IFERROR(__xludf.DUMMYFUNCTION("IMPORTRANGE(""https://docs.google.com/spreadsheets/d/1Yj_ptqi66GCucihVvJfMjLAmec39IyEx_6qawtMGysU/edit?usp=sharing"",""สบก!AW62"")"),0.0)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IFERROR(__xludf.DUMMYFUNCTION("IMPORTRANGE(""https://docs.google.com/spreadsheets/d/1Yj_ptqi66GCucihVvJfMjLAmec39IyEx_6qawtMGysU/edit?usp=sharing"",""สบก!AX62"")"),82440.0)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IFERROR(__xludf.DUMMYFUNCTION("IMPORTRANGE(""https://docs.google.com/spreadsheets/d/1Yj_ptqi66GCucihVvJfMjLAmec39IyEx_6qawtMGysU/edit?usp=sharing"",""สบก!AY62"")"),0.0)</f>
        <v>0</v>
      </c>
      <c r="M126" s="125"/>
      <c r="N126" s="115">
        <f>IFERROR(__xludf.DUMMYFUNCTION("IMPORTRANGE(""https://docs.google.com/spreadsheets/d/1Yj_ptqi66GCucihVvJfMjLAmec39IyEx_6qawtMGysU/edit?usp=sharing"",""สบก!BC62"")"),0.0)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IFERROR(__xludf.DUMMYFUNCTION("IMPORTRANGE(""https://docs.google.com/spreadsheets/d/1SX6NBoVAgQJ6U1MVXOaj8PK2l7WJ3RER9xtqwdhxkhw/edit?usp=sharing"",""ชลบุรี!J58"")"),0.0)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IFERROR(__xludf.DUMMYFUNCTION("IMPORTRANGE(""https://docs.google.com/spreadsheets/d/1SX6NBoVAgQJ6U1MVXOaj8PK2l7WJ3RER9xtqwdhxkhw/edit?usp=sharing"",""ชลบุรี!J59"")"),1.0)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IFERROR(__xludf.DUMMYFUNCTION("IMPORTRANGE(""https://docs.google.com/spreadsheets/d/1SX6NBoVAgQJ6U1MVXOaj8PK2l7WJ3RER9xtqwdhxkhw/edit?usp=sharing"",""ชลบุรี!J60"")"),1.0)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IFERROR(__xludf.DUMMYFUNCTION("IMPORTRANGE(""https://docs.google.com/spreadsheets/d/1SX6NBoVAgQJ6U1MVXOaj8PK2l7WJ3RER9xtqwdhxkhw/edit?usp=sharing"",""ชลบุรี!J61"")"),0.0)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IFERROR(__xludf.DUMMYFUNCTION("IMPORTRANGE(""https://docs.google.com/spreadsheets/d/1SX6NBoVAgQJ6U1MVXOaj8PK2l7WJ3RER9xtqwdhxkhw/edit?usp=sharing"",""ชลบุรี!I62"")"),20.0)</f>
        <v>20</v>
      </c>
      <c r="J132" s="238">
        <f>IFERROR(__xludf.DUMMYFUNCTION("IMPORTRANGE(""https://docs.google.com/spreadsheets/d/1SX6NBoVAgQJ6U1MVXOaj8PK2l7WJ3RER9xtqwdhxkhw/edit?usp=sharing"",""ชลบุรี!J62"")"),20.0)</f>
        <v>20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IFERROR(__xludf.DUMMYFUNCTION("IMPORTRANGE(""https://docs.google.com/spreadsheets/d/1SX6NBoVAgQJ6U1MVXOaj8PK2l7WJ3RER9xtqwdhxkhw/edit?usp=sharing"",""ชลบุรี!I63"")"),20.0)</f>
        <v>20</v>
      </c>
      <c r="J133" s="238">
        <f>IFERROR(__xludf.DUMMYFUNCTION("IMPORTRANGE(""https://docs.google.com/spreadsheets/d/1SX6NBoVAgQJ6U1MVXOaj8PK2l7WJ3RER9xtqwdhxkhw/edit?usp=sharing"",""ชลบุรี!J63"")"),0.0)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IFERROR(__xludf.DUMMYFUNCTION("IMPORTRANGE(""https://docs.google.com/spreadsheets/d/1SX6NBoVAgQJ6U1MVXOaj8PK2l7WJ3RER9xtqwdhxkhw/edit?usp=sharing"",""ชลบุรี!J64"")"),0.0)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IFERROR(__xludf.DUMMYFUNCTION("IMPORTRANGE(""https://docs.google.com/spreadsheets/d/1SX6NBoVAgQJ6U1MVXOaj8PK2l7WJ3RER9xtqwdhxkhw/edit?usp=sharing"",""ชลบุรี!J65"")"),0.0)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IFERROR(__xludf.DUMMYFUNCTION("IMPORTRANGE(""https://docs.google.com/spreadsheets/d/1SX6NBoVAgQJ6U1MVXOaj8PK2l7WJ3RER9xtqwdhxkhw/edit?usp=sharing"",""ชลบุรี!I68"")"),55.0)</f>
        <v>55</v>
      </c>
      <c r="J138" s="301">
        <f>IFERROR(__xludf.DUMMYFUNCTION("IMPORTRANGE(""https://docs.google.com/spreadsheets/d/1SX6NBoVAgQJ6U1MVXOaj8PK2l7WJ3RER9xtqwdhxkhw/edit?usp=sharing"",""ชลบุรี!J68"")"),0.0)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323600</v>
      </c>
      <c r="M140" s="183">
        <f t="shared" si="65"/>
        <v>192950</v>
      </c>
      <c r="N140" s="183">
        <f t="shared" si="65"/>
        <v>62008</v>
      </c>
      <c r="O140" s="182">
        <f t="shared" ref="O140:O142" si="67">IF(L140&gt;0,N140*100/L140,0)</f>
        <v>19.16192831</v>
      </c>
      <c r="P140" s="182">
        <f t="shared" ref="P140:P142" si="68">IF(M140&gt;0,N140*100/M140,0)</f>
        <v>32.13682301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323600</v>
      </c>
      <c r="M142" s="188">
        <f t="shared" si="69"/>
        <v>192950</v>
      </c>
      <c r="N142" s="188">
        <f t="shared" si="69"/>
        <v>62008</v>
      </c>
      <c r="O142" s="187">
        <f t="shared" si="67"/>
        <v>19.16192831</v>
      </c>
      <c r="P142" s="187">
        <f t="shared" si="68"/>
        <v>32.13682301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323600</v>
      </c>
      <c r="M144" s="201">
        <f>IFERROR(__xludf.DUMMYFUNCTION("IMPORTRANGE(""https://docs.google.com/spreadsheets/d/1Yj_ptqi66GCucihVvJfMjLAmec39IyEx_6qawtMGysU/edit?usp=sharing"",""สบก!BJ62"")"),192950.0)</f>
        <v>192950</v>
      </c>
      <c r="N144" s="202">
        <f>IFERROR(__xludf.DUMMYFUNCTION("IMPORTRANGE(""https://docs.google.com/spreadsheets/d/1Yj_ptqi66GCucihVvJfMjLAmec39IyEx_6qawtMGysU/edit?usp=sharing"",""สบก!BK62"")"),62008.0)</f>
        <v>62008</v>
      </c>
      <c r="O144" s="203">
        <f>IF(L144&gt;0,N144*100/L144,0)</f>
        <v>19.16192831</v>
      </c>
      <c r="P144" s="203">
        <f>IF(M144&gt;0,N144*100/M144,0)</f>
        <v>32.13682301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IFERROR(__xludf.DUMMYFUNCTION("IMPORTRANGE(""https://docs.google.com/spreadsheets/d/1Yj_ptqi66GCucihVvJfMjLAmec39IyEx_6qawtMGysU/edit?usp=sharing"",""สบก!BF62"")"),132000.0)</f>
        <v>132000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IFERROR(__xludf.DUMMYFUNCTION("IMPORTRANGE(""https://docs.google.com/spreadsheets/d/1Yj_ptqi66GCucihVvJfMjLAmec39IyEx_6qawtMGysU/edit?usp=sharing"",""สบก!BG62"")"),191600.0)</f>
        <v>191600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IFERROR(__xludf.DUMMYFUNCTION("IMPORTRANGE(""https://docs.google.com/spreadsheets/d/1Yj_ptqi66GCucihVvJfMjLAmec39IyEx_6qawtMGysU/edit?usp=sharing"",""สบก!BH62"")"),0.0)</f>
        <v>0</v>
      </c>
      <c r="M148" s="125"/>
      <c r="N148" s="115">
        <f>IFERROR(__xludf.DUMMYFUNCTION("IMPORTRANGE(""https://docs.google.com/spreadsheets/d/1Yj_ptqi66GCucihVvJfMjLAmec39IyEx_6qawtMGysU/edit?usp=sharing"",""สบก!BL62"")"),0.0)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IFERROR(__xludf.DUMMYFUNCTION("IMPORTRANGE(""https://docs.google.com/spreadsheets/d/1SX6NBoVAgQJ6U1MVXOaj8PK2l7WJ3RER9xtqwdhxkhw/edit?usp=sharing"",""ชลบุรี!I74"")"),4.0)</f>
        <v>4</v>
      </c>
      <c r="J149" s="309">
        <f>IFERROR(__xludf.DUMMYFUNCTION("IMPORTRANGE(""https://docs.google.com/spreadsheets/d/1SX6NBoVAgQJ6U1MVXOaj8PK2l7WJ3RER9xtqwdhxkhw/edit?usp=sharing"",""ชลบุรี!J74"")"),0.0)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IFERROR(__xludf.DUMMYFUNCTION("IMPORTRANGE(""https://docs.google.com/spreadsheets/d/1SX6NBoVAgQJ6U1MVXOaj8PK2l7WJ3RER9xtqwdhxkhw/edit?usp=sharing"",""ชลบุรี!J79"")"),0.0)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IFERROR(__xludf.DUMMYFUNCTION("IMPORTRANGE(""https://docs.google.com/spreadsheets/d/1SX6NBoVAgQJ6U1MVXOaj8PK2l7WJ3RER9xtqwdhxkhw/edit?usp=sharing"",""ชลบุรี!J80"")"),1.0)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IFERROR(__xludf.DUMMYFUNCTION("IMPORTRANGE(""https://docs.google.com/spreadsheets/d/1SX6NBoVAgQJ6U1MVXOaj8PK2l7WJ3RER9xtqwdhxkhw/edit?usp=sharing"",""ชลบุรี!J81"")"),1.0)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IFERROR(__xludf.DUMMYFUNCTION("IMPORTRANGE(""https://docs.google.com/spreadsheets/d/1SX6NBoVAgQJ6U1MVXOaj8PK2l7WJ3RER9xtqwdhxkhw/edit?usp=sharing"",""ชลบุรี!J82"")"),0.0)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IFERROR(__xludf.DUMMYFUNCTION("IMPORTRANGE(""https://docs.google.com/spreadsheets/d/1SX6NBoVAgQJ6U1MVXOaj8PK2l7WJ3RER9xtqwdhxkhw/edit?usp=sharing"",""ชลบุรี!I83"")"),4.0)</f>
        <v>4</v>
      </c>
      <c r="J158" s="223">
        <f>IFERROR(__xludf.DUMMYFUNCTION("IMPORTRANGE(""https://docs.google.com/spreadsheets/d/1SX6NBoVAgQJ6U1MVXOaj8PK2l7WJ3RER9xtqwdhxkhw/edit?usp=sharing"",""ชลบุรี!J83"")"),0.0)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IFERROR(__xludf.DUMMYFUNCTION("IMPORTRANGE(""https://docs.google.com/spreadsheets/d/1SX6NBoVAgQJ6U1MVXOaj8PK2l7WJ3RER9xtqwdhxkhw/edit?usp=sharing"",""ชลบุรี!J84"")"),0.0)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IFERROR(__xludf.DUMMYFUNCTION("IMPORTRANGE(""https://docs.google.com/spreadsheets/d/1SX6NBoVAgQJ6U1MVXOaj8PK2l7WJ3RER9xtqwdhxkhw/edit?usp=sharing"",""ชลบุรี!J85"")"),0.0)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IFERROR(__xludf.DUMMYFUNCTION("IMPORTRANGE(""https://docs.google.com/spreadsheets/d/1SX6NBoVAgQJ6U1MVXOaj8PK2l7WJ3RER9xtqwdhxkhw/edit?usp=sharing"",""ชลบุรี!J86"")"),0.0)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IFERROR(__xludf.DUMMYFUNCTION("IMPORTRANGE(""https://docs.google.com/spreadsheets/d/1SX6NBoVAgQJ6U1MVXOaj8PK2l7WJ3RER9xtqwdhxkhw/edit?usp=sharing"",""ชลบุรี!J87"")"),0.0)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IFERROR(__xludf.DUMMYFUNCTION("IMPORTRANGE(""https://docs.google.com/spreadsheets/d/1SX6NBoVAgQJ6U1MVXOaj8PK2l7WJ3RER9xtqwdhxkhw/edit?usp=sharing"",""ชลบุรี!J88"")"),0.0)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IFERROR(__xludf.DUMMYFUNCTION("IMPORTRANGE(""https://docs.google.com/spreadsheets/d/1SX6NBoVAgQJ6U1MVXOaj8PK2l7WJ3RER9xtqwdhxkhw/edit?usp=sharing"",""ชลบุรี!I89"")"),4.0)</f>
        <v>4</v>
      </c>
      <c r="J164" s="317">
        <f>IFERROR(__xludf.DUMMYFUNCTION("IMPORTRANGE(""https://docs.google.com/spreadsheets/d/1SX6NBoVAgQJ6U1MVXOaj8PK2l7WJ3RER9xtqwdhxkhw/edit?usp=sharing"",""ชลบุรี!J89"")"),1.0)</f>
        <v>1</v>
      </c>
      <c r="K164" s="318">
        <f>IF(I164&gt;0,J164*100/I164,0)</f>
        <v>25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IFERROR(__xludf.DUMMYFUNCTION("IMPORTRANGE(""https://docs.google.com/spreadsheets/d/1SX6NBoVAgQJ6U1MVXOaj8PK2l7WJ3RER9xtqwdhxkhw/edit?usp=sharing"",""ชลบุรี!J94"")"),0.0)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IFERROR(__xludf.DUMMYFUNCTION("IMPORTRANGE(""https://docs.google.com/spreadsheets/d/1SX6NBoVAgQJ6U1MVXOaj8PK2l7WJ3RER9xtqwdhxkhw/edit?usp=sharing"",""ชลบุรี!J95"")"),1.0)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IFERROR(__xludf.DUMMYFUNCTION("IMPORTRANGE(""https://docs.google.com/spreadsheets/d/1SX6NBoVAgQJ6U1MVXOaj8PK2l7WJ3RER9xtqwdhxkhw/edit?usp=sharing"",""ชลบุรี!J96"")"),1.0)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IFERROR(__xludf.DUMMYFUNCTION("IMPORTRANGE(""https://docs.google.com/spreadsheets/d/1SX6NBoVAgQJ6U1MVXOaj8PK2l7WJ3RER9xtqwdhxkhw/edit?usp=sharing"",""ชลบุรี!J97"")"),0.0)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IFERROR(__xludf.DUMMYFUNCTION("IMPORTRANGE(""https://docs.google.com/spreadsheets/d/1SX6NBoVAgQJ6U1MVXOaj8PK2l7WJ3RER9xtqwdhxkhw/edit?usp=sharing"",""ชลบุรี!I98"")"),4.0)</f>
        <v>4</v>
      </c>
      <c r="J173" s="223">
        <f>IFERROR(__xludf.DUMMYFUNCTION("IMPORTRANGE(""https://docs.google.com/spreadsheets/d/1SX6NBoVAgQJ6U1MVXOaj8PK2l7WJ3RER9xtqwdhxkhw/edit?usp=sharing"",""ชลบุรี!J98"")"),1.0)</f>
        <v>1</v>
      </c>
      <c r="K173" s="196">
        <f>IF(I173&gt;0,J173*100/I173,0)</f>
        <v>25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IFERROR(__xludf.DUMMYFUNCTION("IMPORTRANGE(""https://docs.google.com/spreadsheets/d/1SX6NBoVAgQJ6U1MVXOaj8PK2l7WJ3RER9xtqwdhxkhw/edit?usp=sharing"",""ชลบุรี!J99"")"),0.0)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IFERROR(__xludf.DUMMYFUNCTION("IMPORTRANGE(""https://docs.google.com/spreadsheets/d/1SX6NBoVAgQJ6U1MVXOaj8PK2l7WJ3RER9xtqwdhxkhw/edit?usp=sharing"",""ชลบุรี!J100"")"),0.0)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IFERROR(__xludf.DUMMYFUNCTION("IMPORTRANGE(""https://docs.google.com/spreadsheets/d/1SX6NBoVAgQJ6U1MVXOaj8PK2l7WJ3RER9xtqwdhxkhw/edit?usp=sharing"",""ชลบุรี!I101"")"),0.0)</f>
        <v>0</v>
      </c>
      <c r="J176" s="317">
        <f>IFERROR(__xludf.DUMMYFUNCTION("IMPORTRANGE(""https://docs.google.com/spreadsheets/d/1SX6NBoVAgQJ6U1MVXOaj8PK2l7WJ3RER9xtqwdhxkhw/edit?usp=sharing"",""ชลบุรี!J101"")"),0.0)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IFERROR(__xludf.DUMMYFUNCTION("IMPORTRANGE(""https://docs.google.com/spreadsheets/d/1SX6NBoVAgQJ6U1MVXOaj8PK2l7WJ3RER9xtqwdhxkhw/edit?usp=sharing"",""ชลบุรี!J106"")"),0.0)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IFERROR(__xludf.DUMMYFUNCTION("IMPORTRANGE(""https://docs.google.com/spreadsheets/d/1SX6NBoVAgQJ6U1MVXOaj8PK2l7WJ3RER9xtqwdhxkhw/edit?usp=sharing"",""ชลบุรี!J107"")"),0.0)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IFERROR(__xludf.DUMMYFUNCTION("IMPORTRANGE(""https://docs.google.com/spreadsheets/d/1SX6NBoVAgQJ6U1MVXOaj8PK2l7WJ3RER9xtqwdhxkhw/edit?usp=sharing"",""ชลบุรี!J108"")"),0.0)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IFERROR(__xludf.DUMMYFUNCTION("IMPORTRANGE(""https://docs.google.com/spreadsheets/d/1SX6NBoVAgQJ6U1MVXOaj8PK2l7WJ3RER9xtqwdhxkhw/edit?usp=sharing"",""ชลบุรี!J109"")"),0.0)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IFERROR(__xludf.DUMMYFUNCTION("IMPORTRANGE(""https://docs.google.com/spreadsheets/d/1SX6NBoVAgQJ6U1MVXOaj8PK2l7WJ3RER9xtqwdhxkhw/edit?usp=sharing"",""ชลบุรี!I110"")"),0.0)</f>
        <v>0</v>
      </c>
      <c r="J185" s="238">
        <f>IFERROR(__xludf.DUMMYFUNCTION("IMPORTRANGE(""https://docs.google.com/spreadsheets/d/1SX6NBoVAgQJ6U1MVXOaj8PK2l7WJ3RER9xtqwdhxkhw/edit?usp=sharing"",""ชลบุรี!J110"")"),0.0)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IFERROR(__xludf.DUMMYFUNCTION("IMPORTRANGE(""https://docs.google.com/spreadsheets/d/1SX6NBoVAgQJ6U1MVXOaj8PK2l7WJ3RER9xtqwdhxkhw/edit?usp=sharing"",""ชลบุรี!I111"")"),0.0)</f>
        <v>0</v>
      </c>
      <c r="J186" s="238">
        <f>IFERROR(__xludf.DUMMYFUNCTION("IMPORTRANGE(""https://docs.google.com/spreadsheets/d/1SX6NBoVAgQJ6U1MVXOaj8PK2l7WJ3RER9xtqwdhxkhw/edit?usp=sharing"",""ชลบุรี!J111"")"),0.0)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IFERROR(__xludf.DUMMYFUNCTION("IMPORTRANGE(""https://docs.google.com/spreadsheets/d/1SX6NBoVAgQJ6U1MVXOaj8PK2l7WJ3RER9xtqwdhxkhw/edit?usp=sharing"",""ชลบุรี!J112"")"),0.0)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IFERROR(__xludf.DUMMYFUNCTION("IMPORTRANGE(""https://docs.google.com/spreadsheets/d/1SX6NBoVAgQJ6U1MVXOaj8PK2l7WJ3RER9xtqwdhxkhw/edit?usp=sharing"",""ชลบุรี!J113"")"),0.0)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IFERROR(__xludf.DUMMYFUNCTION("IMPORTRANGE(""https://docs.google.com/spreadsheets/d/1SX6NBoVAgQJ6U1MVXOaj8PK2l7WJ3RER9xtqwdhxkhw/edit?usp=sharing"",""ชลบุรี!I114"")"),5000.0)</f>
        <v>5000</v>
      </c>
      <c r="J189" s="317">
        <f>IFERROR(__xludf.DUMMYFUNCTION("IMPORTRANGE(""https://docs.google.com/spreadsheets/d/1SX6NBoVAgQJ6U1MVXOaj8PK2l7WJ3RER9xtqwdhxkhw/edit?usp=sharing"",""ชลบุรี!J114"")"),0.0)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IFERROR(__xludf.DUMMYFUNCTION("IMPORTRANGE(""https://docs.google.com/spreadsheets/d/1SX6NBoVAgQJ6U1MVXOaj8PK2l7WJ3RER9xtqwdhxkhw/edit?usp=sharing"",""ชลบุรี!J119"")"),0.0)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IFERROR(__xludf.DUMMYFUNCTION("IMPORTRANGE(""https://docs.google.com/spreadsheets/d/1SX6NBoVAgQJ6U1MVXOaj8PK2l7WJ3RER9xtqwdhxkhw/edit?usp=sharing"",""ชลบุรี!J120"")"),1.0)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IFERROR(__xludf.DUMMYFUNCTION("IMPORTRANGE(""https://docs.google.com/spreadsheets/d/1SX6NBoVAgQJ6U1MVXOaj8PK2l7WJ3RER9xtqwdhxkhw/edit?usp=sharing"",""ชลบุรี!J121"")"),1.0)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IFERROR(__xludf.DUMMYFUNCTION("IMPORTRANGE(""https://docs.google.com/spreadsheets/d/1SX6NBoVAgQJ6U1MVXOaj8PK2l7WJ3RER9xtqwdhxkhw/edit?usp=sharing"",""ชลบุรี!J122"")"),0.0)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IFERROR(__xludf.DUMMYFUNCTION("IMPORTRANGE(""https://docs.google.com/spreadsheets/d/1SX6NBoVAgQJ6U1MVXOaj8PK2l7WJ3RER9xtqwdhxkhw/edit?usp=sharing"",""ชลบุรี!I124"")"),5000.0)</f>
        <v>5000</v>
      </c>
      <c r="J199" s="223">
        <f>IFERROR(__xludf.DUMMYFUNCTION("IMPORTRANGE(""https://docs.google.com/spreadsheets/d/1SX6NBoVAgQJ6U1MVXOaj8PK2l7WJ3RER9xtqwdhxkhw/edit?usp=sharing"",""ชลบุรี!J124"")"),0.0)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IFERROR(__xludf.DUMMYFUNCTION("IMPORTRANGE(""https://docs.google.com/spreadsheets/d/1SX6NBoVAgQJ6U1MVXOaj8PK2l7WJ3RER9xtqwdhxkhw/edit?usp=sharing"",""ชลบุรี!I125"")"),5000.0)</f>
        <v>5000</v>
      </c>
      <c r="J200" s="223">
        <f>IFERROR(__xludf.DUMMYFUNCTION("IMPORTRANGE(""https://docs.google.com/spreadsheets/d/1SX6NBoVAgQJ6U1MVXOaj8PK2l7WJ3RER9xtqwdhxkhw/edit?usp=sharing"",""ชลบุรี!J125"")"),0.0)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IFERROR(__xludf.DUMMYFUNCTION("IMPORTRANGE(""https://docs.google.com/spreadsheets/d/1SX6NBoVAgQJ6U1MVXOaj8PK2l7WJ3RER9xtqwdhxkhw/edit?usp=sharing"",""ชลบุรี!I126"")"),15.0)</f>
        <v>15</v>
      </c>
      <c r="J201" s="223">
        <f>IFERROR(__xludf.DUMMYFUNCTION("IMPORTRANGE(""https://docs.google.com/spreadsheets/d/1SX6NBoVAgQJ6U1MVXOaj8PK2l7WJ3RER9xtqwdhxkhw/edit?usp=sharing"",""ชลบุรี!J126"")"),0.0)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IFERROR(__xludf.DUMMYFUNCTION("IMPORTRANGE(""https://docs.google.com/spreadsheets/d/1SX6NBoVAgQJ6U1MVXOaj8PK2l7WJ3RER9xtqwdhxkhw/edit?usp=sharing"",""ชลบุรี!J127"")"),0.0)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IFERROR(__xludf.DUMMYFUNCTION("IMPORTRANGE(""https://docs.google.com/spreadsheets/d/1SX6NBoVAgQJ6U1MVXOaj8PK2l7WJ3RER9xtqwdhxkhw/edit?usp=sharing"",""ชลบุรี!J128"")"),0.0)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IFERROR(__xludf.DUMMYFUNCTION("IMPORTRANGE(""https://docs.google.com/spreadsheets/d/1SX6NBoVAgQJ6U1MVXOaj8PK2l7WJ3RER9xtqwdhxkhw/edit?usp=sharing"",""ชลบุรี!I129"")"),40.0)</f>
        <v>40</v>
      </c>
      <c r="J204" s="317">
        <f>IFERROR(__xludf.DUMMYFUNCTION("IMPORTRANGE(""https://docs.google.com/spreadsheets/d/1SX6NBoVAgQJ6U1MVXOaj8PK2l7WJ3RER9xtqwdhxkhw/edit?usp=sharing"",""ชลบุรี!J129"")"),0.0)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IFERROR(__xludf.DUMMYFUNCTION("IMPORTRANGE(""https://docs.google.com/spreadsheets/d/1SX6NBoVAgQJ6U1MVXOaj8PK2l7WJ3RER9xtqwdhxkhw/edit?usp=sharing"",""ชลบุรี!J134"")"),0.0)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IFERROR(__xludf.DUMMYFUNCTION("IMPORTRANGE(""https://docs.google.com/spreadsheets/d/1SX6NBoVAgQJ6U1MVXOaj8PK2l7WJ3RER9xtqwdhxkhw/edit?usp=sharing"",""ชลบุรี!J135"")"),1.0)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IFERROR(__xludf.DUMMYFUNCTION("IMPORTRANGE(""https://docs.google.com/spreadsheets/d/1SX6NBoVAgQJ6U1MVXOaj8PK2l7WJ3RER9xtqwdhxkhw/edit?usp=sharing"",""ชลบุรี!J136"")"),1.0)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IFERROR(__xludf.DUMMYFUNCTION("IMPORTRANGE(""https://docs.google.com/spreadsheets/d/1SX6NBoVAgQJ6U1MVXOaj8PK2l7WJ3RER9xtqwdhxkhw/edit?usp=sharing"",""ชลบุรี!J137"")"),0.0)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IFERROR(__xludf.DUMMYFUNCTION("IMPORTRANGE(""https://docs.google.com/spreadsheets/d/1SX6NBoVAgQJ6U1MVXOaj8PK2l7WJ3RER9xtqwdhxkhw/edit?usp=sharing"",""ชลบุรี!I138"")"),40.0)</f>
        <v>40</v>
      </c>
      <c r="J213" s="238">
        <f>IFERROR(__xludf.DUMMYFUNCTION("IMPORTRANGE(""https://docs.google.com/spreadsheets/d/1SX6NBoVAgQJ6U1MVXOaj8PK2l7WJ3RER9xtqwdhxkhw/edit?usp=sharing"",""ชลบุรี!J138"")"),0.0)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IFERROR(__xludf.DUMMYFUNCTION("IMPORTRANGE(""https://docs.google.com/spreadsheets/d/1SX6NBoVAgQJ6U1MVXOaj8PK2l7WJ3RER9xtqwdhxkhw/edit?usp=sharing"",""ชลบุรี!I140"")"),40.0)</f>
        <v>40</v>
      </c>
      <c r="J215" s="238">
        <f>IFERROR(__xludf.DUMMYFUNCTION("IMPORTRANGE(""https://docs.google.com/spreadsheets/d/1SX6NBoVAgQJ6U1MVXOaj8PK2l7WJ3RER9xtqwdhxkhw/edit?usp=sharing"",""ชลบุรี!J140"")"),0.0)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IFERROR(__xludf.DUMMYFUNCTION("IMPORTRANGE(""https://docs.google.com/spreadsheets/d/1SX6NBoVAgQJ6U1MVXOaj8PK2l7WJ3RER9xtqwdhxkhw/edit?usp=sharing"",""ชลบุรี!I141"")"),0.0)</f>
        <v>0</v>
      </c>
      <c r="J216" s="238">
        <f>IFERROR(__xludf.DUMMYFUNCTION("IMPORTRANGE(""https://docs.google.com/spreadsheets/d/1SX6NBoVAgQJ6U1MVXOaj8PK2l7WJ3RER9xtqwdhxkhw/edit?usp=sharing"",""ชลบุรี!J141"")"),0.0)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IFERROR(__xludf.DUMMYFUNCTION("IMPORTRANGE(""https://docs.google.com/spreadsheets/d/1SX6NBoVAgQJ6U1MVXOaj8PK2l7WJ3RER9xtqwdhxkhw/edit?usp=sharing"",""ชลบุรี!J142"")"),0.0)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IFERROR(__xludf.DUMMYFUNCTION("IMPORTRANGE(""https://docs.google.com/spreadsheets/d/1SX6NBoVAgQJ6U1MVXOaj8PK2l7WJ3RER9xtqwdhxkhw/edit?usp=sharing"",""ชลบุรี!J143"")"),0.0)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IFERROR(__xludf.DUMMYFUNCTION("IMPORTRANGE(""https://docs.google.com/spreadsheets/d/1SX6NBoVAgQJ6U1MVXOaj8PK2l7WJ3RER9xtqwdhxkhw/edit?usp=sharing"",""ชลบุรี!I144"")"),0.0)</f>
        <v>0</v>
      </c>
      <c r="J219" s="301">
        <f>IFERROR(__xludf.DUMMYFUNCTION("IMPORTRANGE(""https://docs.google.com/spreadsheets/d/1SX6NBoVAgQJ6U1MVXOaj8PK2l7WJ3RER9xtqwdhxkhw/edit?usp=sharing"",""ชลบุรี!J144"")"),0.0)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0</v>
      </c>
      <c r="M220" s="183">
        <f t="shared" si="73"/>
        <v>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0</v>
      </c>
      <c r="M222" s="188">
        <f t="shared" si="77"/>
        <v>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0</v>
      </c>
      <c r="M224" s="201">
        <f>IFERROR(__xludf.DUMMYFUNCTION("IMPORTRANGE(""https://docs.google.com/spreadsheets/d/1Yj_ptqi66GCucihVvJfMjLAmec39IyEx_6qawtMGysU/edit?usp=sharing"",""สบก!BS62"")"),0.0)</f>
        <v>0</v>
      </c>
      <c r="N224" s="202">
        <f>IFERROR(__xludf.DUMMYFUNCTION("IMPORTRANGE(""https://docs.google.com/spreadsheets/d/1Yj_ptqi66GCucihVvJfMjLAmec39IyEx_6qawtMGysU/edit?usp=sharing"",""สบก!BT62"")"),0.0)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IFERROR(__xludf.DUMMYFUNCTION("IMPORTRANGE(""https://docs.google.com/spreadsheets/d/1Yj_ptqi66GCucihVvJfMjLAmec39IyEx_6qawtMGysU/edit?usp=sharing"",""สบก!BO62"")"),0.0)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IFERROR(__xludf.DUMMYFUNCTION("IMPORTRANGE(""https://docs.google.com/spreadsheets/d/1Yj_ptqi66GCucihVvJfMjLAmec39IyEx_6qawtMGysU/edit?usp=sharing"",""สบก!BP62"")"),0.0)</f>
        <v>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IFERROR(__xludf.DUMMYFUNCTION("IMPORTRANGE(""https://docs.google.com/spreadsheets/d/1Yj_ptqi66GCucihVvJfMjLAmec39IyEx_6qawtMGysU/edit?usp=sharing"",""สบก!BQ62"")"),0.0)</f>
        <v>0</v>
      </c>
      <c r="M228" s="125"/>
      <c r="N228" s="115">
        <f>IFERROR(__xludf.DUMMYFUNCTION("IMPORTRANGE(""https://docs.google.com/spreadsheets/d/1Yj_ptqi66GCucihVvJfMjLAmec39IyEx_6qawtMGysU/edit?usp=sharing"",""สบก!BU62"")"),0.0)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IFERROR(__xludf.DUMMYFUNCTION("IMPORTRANGE(""https://docs.google.com/spreadsheets/d/1SX6NBoVAgQJ6U1MVXOaj8PK2l7WJ3RER9xtqwdhxkhw/edit?usp=sharing"",""ชลบุรี!I149"")"),0.0)</f>
        <v>0</v>
      </c>
      <c r="J229" s="301">
        <f>IFERROR(__xludf.DUMMYFUNCTION("IMPORTRANGE(""https://docs.google.com/spreadsheets/d/1SX6NBoVAgQJ6U1MVXOaj8PK2l7WJ3RER9xtqwdhxkhw/edit?usp=sharing"",""ชลบุรี!J149"")"),0.0)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IFERROR(__xludf.DUMMYFUNCTION("IMPORTRANGE(""https://docs.google.com/spreadsheets/d/1SX6NBoVAgQJ6U1MVXOaj8PK2l7WJ3RER9xtqwdhxkhw/edit?usp=sharing"",""ชลบุรี!J151"")"),0.0)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IFERROR(__xludf.DUMMYFUNCTION("IMPORTRANGE(""https://docs.google.com/spreadsheets/d/1SX6NBoVAgQJ6U1MVXOaj8PK2l7WJ3RER9xtqwdhxkhw/edit?usp=sharing"",""ชลบุรี!J152"")"),0.0)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IFERROR(__xludf.DUMMYFUNCTION("IMPORTRANGE(""https://docs.google.com/spreadsheets/d/1SX6NBoVAgQJ6U1MVXOaj8PK2l7WJ3RER9xtqwdhxkhw/edit?usp=sharing"",""ชลบุรี!J153"")"),0.0)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IFERROR(__xludf.DUMMYFUNCTION("IMPORTRANGE(""https://docs.google.com/spreadsheets/d/1SX6NBoVAgQJ6U1MVXOaj8PK2l7WJ3RER9xtqwdhxkhw/edit?usp=sharing"",""ชลบุรี!J154"")"),0.0)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IFERROR(__xludf.DUMMYFUNCTION("IMPORTRANGE(""https://docs.google.com/spreadsheets/d/1SX6NBoVAgQJ6U1MVXOaj8PK2l7WJ3RER9xtqwdhxkhw/edit?usp=sharing"",""ชลบุรี!I155"")"),0.0)</f>
        <v>0</v>
      </c>
      <c r="J235" s="223">
        <f>IFERROR(__xludf.DUMMYFUNCTION("IMPORTRANGE(""https://docs.google.com/spreadsheets/d/1SX6NBoVAgQJ6U1MVXOaj8PK2l7WJ3RER9xtqwdhxkhw/edit?usp=sharing"",""ชลบุรี!J155"")"),0.0)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IFERROR(__xludf.DUMMYFUNCTION("IMPORTRANGE(""https://docs.google.com/spreadsheets/d/1SX6NBoVAgQJ6U1MVXOaj8PK2l7WJ3RER9xtqwdhxkhw/edit?usp=sharing"",""ชลบุรี!J156"")"),0.0)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IFERROR(__xludf.DUMMYFUNCTION("IMPORTRANGE(""https://docs.google.com/spreadsheets/d/1SX6NBoVAgQJ6U1MVXOaj8PK2l7WJ3RER9xtqwdhxkhw/edit?usp=sharing"",""ชลบุรี!J157"")"),0.0)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IFERROR(__xludf.DUMMYFUNCTION("IMPORTRANGE(""https://docs.google.com/spreadsheets/d/1SX6NBoVAgQJ6U1MVXOaj8PK2l7WJ3RER9xtqwdhxkhw/edit?usp=sharing"",""ชลบุรี!I158"")"),0.0)</f>
        <v>0</v>
      </c>
      <c r="J238" s="301">
        <f>IFERROR(__xludf.DUMMYFUNCTION("IMPORTRANGE(""https://docs.google.com/spreadsheets/d/1SX6NBoVAgQJ6U1MVXOaj8PK2l7WJ3RER9xtqwdhxkhw/edit?usp=sharing"",""ชลบุรี!J158"")"),0.0)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IFERROR(__xludf.DUMMYFUNCTION("IMPORTRANGE(""https://docs.google.com/spreadsheets/d/1SX6NBoVAgQJ6U1MVXOaj8PK2l7WJ3RER9xtqwdhxkhw/edit?usp=sharing"",""ชลบุรี!J159"")"),"")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IFERROR(__xludf.DUMMYFUNCTION("IMPORTRANGE(""https://docs.google.com/spreadsheets/d/1SX6NBoVAgQJ6U1MVXOaj8PK2l7WJ3RER9xtqwdhxkhw/edit?usp=sharing"",""ชลบุรี!J161"")"),0.0)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IFERROR(__xludf.DUMMYFUNCTION("IMPORTRANGE(""https://docs.google.com/spreadsheets/d/1SX6NBoVAgQJ6U1MVXOaj8PK2l7WJ3RER9xtqwdhxkhw/edit?usp=sharing"",""ชลบุรี!J162"")"),0.0)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IFERROR(__xludf.DUMMYFUNCTION("IMPORTRANGE(""https://docs.google.com/spreadsheets/d/1SX6NBoVAgQJ6U1MVXOaj8PK2l7WJ3RER9xtqwdhxkhw/edit?usp=sharing"",""ชลบุรี!J163"")"),0.0)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IFERROR(__xludf.DUMMYFUNCTION("IMPORTRANGE(""https://docs.google.com/spreadsheets/d/1SX6NBoVAgQJ6U1MVXOaj8PK2l7WJ3RER9xtqwdhxkhw/edit?usp=sharing"",""ชลบุรี!I164"")"),0.0)</f>
        <v>0</v>
      </c>
      <c r="J244" s="222">
        <f>IFERROR(__xludf.DUMMYFUNCTION("IMPORTRANGE(""https://docs.google.com/spreadsheets/d/1SX6NBoVAgQJ6U1MVXOaj8PK2l7WJ3RER9xtqwdhxkhw/edit?usp=sharing"",""ชลบุรี!J164"")"),0.0)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IFERROR(__xludf.DUMMYFUNCTION("IMPORTRANGE(""https://docs.google.com/spreadsheets/d/1SX6NBoVAgQJ6U1MVXOaj8PK2l7WJ3RER9xtqwdhxkhw/edit?usp=sharing"",""ชลบุรี!J165"")"),0.0)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IFERROR(__xludf.DUMMYFUNCTION("IMPORTRANGE(""https://docs.google.com/spreadsheets/d/1SX6NBoVAgQJ6U1MVXOaj8PK2l7WJ3RER9xtqwdhxkhw/edit?usp=sharing"",""ชลบุรี!J166"")"),0.0)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IFERROR(__xludf.DUMMYFUNCTION("IMPORTRANGE(""https://docs.google.com/spreadsheets/d/1SX6NBoVAgQJ6U1MVXOaj8PK2l7WJ3RER9xtqwdhxkhw/edit?usp=sharing"",""ชลบุรี!I169"")"),0.0)</f>
        <v>0</v>
      </c>
      <c r="J249" s="349">
        <f>IFERROR(__xludf.DUMMYFUNCTION("IMPORTRANGE(""https://docs.google.com/spreadsheets/d/1SX6NBoVAgQJ6U1MVXOaj8PK2l7WJ3RER9xtqwdhxkhw/edit?usp=sharing"",""ชลบุรี!J169"")"),0.0)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IFERROR(__xludf.DUMMYFUNCTION("IMPORTRANGE(""https://docs.google.com/spreadsheets/d/1Yj_ptqi66GCucihVvJfMjLAmec39IyEx_6qawtMGysU/edit?usp=sharing"",""สบก!CB62"")"),0.0)</f>
        <v>0</v>
      </c>
      <c r="N254" s="202">
        <f>IFERROR(__xludf.DUMMYFUNCTION("IMPORTRANGE(""https://docs.google.com/spreadsheets/d/1Yj_ptqi66GCucihVvJfMjLAmec39IyEx_6qawtMGysU/edit?usp=sharing"",""สบก!CC62"")"),0.0)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IFERROR(__xludf.DUMMYFUNCTION("IMPORTRANGE(""https://docs.google.com/spreadsheets/d/1Yj_ptqi66GCucihVvJfMjLAmec39IyEx_6qawtMGysU/edit?usp=sharing"",""สบก!BX62"")"),0.0)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IFERROR(__xludf.DUMMYFUNCTION("IMPORTRANGE(""https://docs.google.com/spreadsheets/d/1Yj_ptqi66GCucihVvJfMjLAmec39IyEx_6qawtMGysU/edit?usp=sharing"",""สบก!BY62"")"),0.0)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IFERROR(__xludf.DUMMYFUNCTION("IMPORTRANGE(""https://docs.google.com/spreadsheets/d/1Yj_ptqi66GCucihVvJfMjLAmec39IyEx_6qawtMGysU/edit?usp=sharing"",""สบก!BZ62"")"),0.0)</f>
        <v>0</v>
      </c>
      <c r="M258" s="125"/>
      <c r="N258" s="115">
        <f>IFERROR(__xludf.DUMMYFUNCTION("IMPORTRANGE(""https://docs.google.com/spreadsheets/d/1Yj_ptqi66GCucihVvJfMjLAmec39IyEx_6qawtMGysU/edit?usp=sharing"",""สบก!CD62"")"),0.0)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IFERROR(__xludf.DUMMYFUNCTION("IMPORTRANGE(""https://docs.google.com/spreadsheets/d/1SX6NBoVAgQJ6U1MVXOaj8PK2l7WJ3RER9xtqwdhxkhw/edit?usp=sharing"",""ชลบุรี!J175"")"),0.0)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IFERROR(__xludf.DUMMYFUNCTION("IMPORTRANGE(""https://docs.google.com/spreadsheets/d/1SX6NBoVAgQJ6U1MVXOaj8PK2l7WJ3RER9xtqwdhxkhw/edit?usp=sharing"",""ชลบุรี!J176"")"),0.0)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IFERROR(__xludf.DUMMYFUNCTION("IMPORTRANGE(""https://docs.google.com/spreadsheets/d/1SX6NBoVAgQJ6U1MVXOaj8PK2l7WJ3RER9xtqwdhxkhw/edit?usp=sharing"",""ชลบุรี!J177"")"),0.0)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IFERROR(__xludf.DUMMYFUNCTION("IMPORTRANGE(""https://docs.google.com/spreadsheets/d/1SX6NBoVAgQJ6U1MVXOaj8PK2l7WJ3RER9xtqwdhxkhw/edit?usp=sharing"",""ชลบุรี!J178"")"),0.0)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IFERROR(__xludf.DUMMYFUNCTION("IMPORTRANGE(""https://docs.google.com/spreadsheets/d/1SX6NBoVAgQJ6U1MVXOaj8PK2l7WJ3RER9xtqwdhxkhw/edit?usp=sharing"",""ชลบุรี!I179"")"),0.0)</f>
        <v>0</v>
      </c>
      <c r="J264" s="223">
        <f>IFERROR(__xludf.DUMMYFUNCTION("IMPORTRANGE(""https://docs.google.com/spreadsheets/d/1SX6NBoVAgQJ6U1MVXOaj8PK2l7WJ3RER9xtqwdhxkhw/edit?usp=sharing"",""ชลบุรี!J179"")"),0.0)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IFERROR(__xludf.DUMMYFUNCTION("IMPORTRANGE(""https://docs.google.com/spreadsheets/d/1SX6NBoVAgQJ6U1MVXOaj8PK2l7WJ3RER9xtqwdhxkhw/edit?usp=sharing"",""ชลบุรี!I180"")"),0.0)</f>
        <v>0</v>
      </c>
      <c r="J265" s="223">
        <f>IFERROR(__xludf.DUMMYFUNCTION("IMPORTRANGE(""https://docs.google.com/spreadsheets/d/1SX6NBoVAgQJ6U1MVXOaj8PK2l7WJ3RER9xtqwdhxkhw/edit?usp=sharing"",""ชลบุรี!J180"")"),0.0)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IFERROR(__xludf.DUMMYFUNCTION("IMPORTRANGE(""https://docs.google.com/spreadsheets/d/1SX6NBoVAgQJ6U1MVXOaj8PK2l7WJ3RER9xtqwdhxkhw/edit?usp=sharing"",""ชลบุรี!I181"")"),0.0)</f>
        <v>0</v>
      </c>
      <c r="J266" s="223">
        <f>IFERROR(__xludf.DUMMYFUNCTION("IMPORTRANGE(""https://docs.google.com/spreadsheets/d/1SX6NBoVAgQJ6U1MVXOaj8PK2l7WJ3RER9xtqwdhxkhw/edit?usp=sharing"",""ชลบุรี!J181"")"),0.0)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IFERROR(__xludf.DUMMYFUNCTION("IMPORTRANGE(""https://docs.google.com/spreadsheets/d/1SX6NBoVAgQJ6U1MVXOaj8PK2l7WJ3RER9xtqwdhxkhw/edit?usp=sharing"",""ชลบุรี!I182"")"),0.0)</f>
        <v>0</v>
      </c>
      <c r="J267" s="223">
        <f>IFERROR(__xludf.DUMMYFUNCTION("IMPORTRANGE(""https://docs.google.com/spreadsheets/d/1SX6NBoVAgQJ6U1MVXOaj8PK2l7WJ3RER9xtqwdhxkhw/edit?usp=sharing"",""ชลบุรี!J182"")"),0.0)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IFERROR(__xludf.DUMMYFUNCTION("IMPORTRANGE(""https://docs.google.com/spreadsheets/d/1SX6NBoVAgQJ6U1MVXOaj8PK2l7WJ3RER9xtqwdhxkhw/edit?usp=sharing"",""ชลบุรี!J183"")"),0.0)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IFERROR(__xludf.DUMMYFUNCTION("IMPORTRANGE(""https://docs.google.com/spreadsheets/d/1SX6NBoVAgQJ6U1MVXOaj8PK2l7WJ3RER9xtqwdhxkhw/edit?usp=sharing"",""ชลบุรี!J184"")"),0.0)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IFERROR(__xludf.DUMMYFUNCTION("IMPORTRANGE(""https://docs.google.com/spreadsheets/d/1SX6NBoVAgQJ6U1MVXOaj8PK2l7WJ3RER9xtqwdhxkhw/edit?usp=sharing"",""ชลบุรี!I185"")"),15.0)</f>
        <v>15</v>
      </c>
      <c r="J270" s="349">
        <f>IFERROR(__xludf.DUMMYFUNCTION("IMPORTRANGE(""https://docs.google.com/spreadsheets/d/1SX6NBoVAgQJ6U1MVXOaj8PK2l7WJ3RER9xtqwdhxkhw/edit?usp=sharing"",""ชลบุรี!J185"")"),0.0)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IFERROR(__xludf.DUMMYFUNCTION("IMPORTRANGE(""https://docs.google.com/spreadsheets/d/1Yj_ptqi66GCucihVvJfMjLAmec39IyEx_6qawtMGysU/edit?usp=sharing"",""สบก!CK62"")"),32250.0)</f>
        <v>32250</v>
      </c>
      <c r="N275" s="202">
        <f>IFERROR(__xludf.DUMMYFUNCTION("IMPORTRANGE(""https://docs.google.com/spreadsheets/d/1Yj_ptqi66GCucihVvJfMjLAmec39IyEx_6qawtMGysU/edit?usp=sharing"",""สบก!CL62"")"),0.0)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IFERROR(__xludf.DUMMYFUNCTION("IMPORTRANGE(""https://docs.google.com/spreadsheets/d/1Yj_ptqi66GCucihVvJfMjLAmec39IyEx_6qawtMGysU/edit?usp=sharing"",""สบก!CG62"")"),0.0)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IFERROR(__xludf.DUMMYFUNCTION("IMPORTRANGE(""https://docs.google.com/spreadsheets/d/1Yj_ptqi66GCucihVvJfMjLAmec39IyEx_6qawtMGysU/edit?usp=sharing"",""สบก!CH62"")"),55200.0)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IFERROR(__xludf.DUMMYFUNCTION("IMPORTRANGE(""https://docs.google.com/spreadsheets/d/1Yj_ptqi66GCucihVvJfMjLAmec39IyEx_6qawtMGysU/edit?usp=sharing"",""สบก!CI62"")"),0.0)</f>
        <v>0</v>
      </c>
      <c r="M279" s="125"/>
      <c r="N279" s="115">
        <f>IFERROR(__xludf.DUMMYFUNCTION("IMPORTRANGE(""https://docs.google.com/spreadsheets/d/1Yj_ptqi66GCucihVvJfMjLAmec39IyEx_6qawtMGysU/edit?usp=sharing"",""สบก!CM62"")"),0.0)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IFERROR(__xludf.DUMMYFUNCTION("IMPORTRANGE(""https://docs.google.com/spreadsheets/d/1SX6NBoVAgQJ6U1MVXOaj8PK2l7WJ3RER9xtqwdhxkhw/edit?usp=sharing"",""ชลบุรี!J191"")"),0.0)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IFERROR(__xludf.DUMMYFUNCTION("IMPORTRANGE(""https://docs.google.com/spreadsheets/d/1SX6NBoVAgQJ6U1MVXOaj8PK2l7WJ3RER9xtqwdhxkhw/edit?usp=sharing"",""ชลบุรี!J192"")"),1.0)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IFERROR(__xludf.DUMMYFUNCTION("IMPORTRANGE(""https://docs.google.com/spreadsheets/d/1SX6NBoVAgQJ6U1MVXOaj8PK2l7WJ3RER9xtqwdhxkhw/edit?usp=sharing"",""ชลบุรี!J193"")"),1.0)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IFERROR(__xludf.DUMMYFUNCTION("IMPORTRANGE(""https://docs.google.com/spreadsheets/d/1SX6NBoVAgQJ6U1MVXOaj8PK2l7WJ3RER9xtqwdhxkhw/edit?usp=sharing"",""ชลบุรี!J194"")"),0.0)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IFERROR(__xludf.DUMMYFUNCTION("IMPORTRANGE(""https://docs.google.com/spreadsheets/d/1SX6NBoVAgQJ6U1MVXOaj8PK2l7WJ3RER9xtqwdhxkhw/edit?usp=sharing"",""ชลบุรี!I195"")"),15.0)</f>
        <v>15</v>
      </c>
      <c r="J285" s="223">
        <f>IFERROR(__xludf.DUMMYFUNCTION("IMPORTRANGE(""https://docs.google.com/spreadsheets/d/1SX6NBoVAgQJ6U1MVXOaj8PK2l7WJ3RER9xtqwdhxkhw/edit?usp=sharing"",""ชลบุรี!J195"")"),0.0)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IFERROR(__xludf.DUMMYFUNCTION("IMPORTRANGE(""https://docs.google.com/spreadsheets/d/1SX6NBoVAgQJ6U1MVXOaj8PK2l7WJ3RER9xtqwdhxkhw/edit?usp=sharing"",""ชลบุรี!J196"")"),0.0)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IFERROR(__xludf.DUMMYFUNCTION("IMPORTRANGE(""https://docs.google.com/spreadsheets/d/1SX6NBoVAgQJ6U1MVXOaj8PK2l7WJ3RER9xtqwdhxkhw/edit?usp=sharing"",""ชลบุรี!J197"")"),0.0)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IFERROR(__xludf.DUMMYFUNCTION("IMPORTRANGE(""https://docs.google.com/spreadsheets/d/1SX6NBoVAgQJ6U1MVXOaj8PK2l7WJ3RER9xtqwdhxkhw/edit?usp=sharing"",""ชลบุรี!I199"")"),30.0)</f>
        <v>30</v>
      </c>
      <c r="J289" s="349">
        <f>IFERROR(__xludf.DUMMYFUNCTION("IMPORTRANGE(""https://docs.google.com/spreadsheets/d/1SX6NBoVAgQJ6U1MVXOaj8PK2l7WJ3RER9xtqwdhxkhw/edit?usp=sharing"",""ชลบุรี!J199"")"),0.0)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96320</v>
      </c>
      <c r="M290" s="183">
        <f t="shared" si="89"/>
        <v>46060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96320</v>
      </c>
      <c r="M292" s="188">
        <f t="shared" si="93"/>
        <v>46060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96320</v>
      </c>
      <c r="M294" s="201">
        <f>IFERROR(__xludf.DUMMYFUNCTION("IMPORTRANGE(""https://docs.google.com/spreadsheets/d/1Yj_ptqi66GCucihVvJfMjLAmec39IyEx_6qawtMGysU/edit?usp=sharing"",""สบก!CT62"")"),46060.0)</f>
        <v>46060</v>
      </c>
      <c r="N294" s="202">
        <f>IFERROR(__xludf.DUMMYFUNCTION("IMPORTRANGE(""https://docs.google.com/spreadsheets/d/1Yj_ptqi66GCucihVvJfMjLAmec39IyEx_6qawtMGysU/edit?usp=sharing"",""สบก!CU62"")"),0.0)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IFERROR(__xludf.DUMMYFUNCTION("IMPORTRANGE(""https://docs.google.com/spreadsheets/d/1Yj_ptqi66GCucihVvJfMjLAmec39IyEx_6qawtMGysU/edit?usp=sharing"",""สบก!CP62"")"),0.0)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IFERROR(__xludf.DUMMYFUNCTION("IMPORTRANGE(""https://docs.google.com/spreadsheets/d/1Yj_ptqi66GCucihVvJfMjLAmec39IyEx_6qawtMGysU/edit?usp=sharing"",""สบก!CQ62"")"),96320.0)</f>
        <v>96320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IFERROR(__xludf.DUMMYFUNCTION("IMPORTRANGE(""https://docs.google.com/spreadsheets/d/1Yj_ptqi66GCucihVvJfMjLAmec39IyEx_6qawtMGysU/edit?usp=sharing"",""สบก!CR62"")"),0.0)</f>
        <v>0</v>
      </c>
      <c r="M298" s="125"/>
      <c r="N298" s="115">
        <f>IFERROR(__xludf.DUMMYFUNCTION("IMPORTRANGE(""https://docs.google.com/spreadsheets/d/1Yj_ptqi66GCucihVvJfMjLAmec39IyEx_6qawtMGysU/edit?usp=sharing"",""สบก!CV62"")"),0.0)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IFERROR(__xludf.DUMMYFUNCTION("IMPORTRANGE(""https://docs.google.com/spreadsheets/d/1SX6NBoVAgQJ6U1MVXOaj8PK2l7WJ3RER9xtqwdhxkhw/edit?usp=sharing"",""ชลบุรี!J205"")"),1.0)</f>
        <v>1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IFERROR(__xludf.DUMMYFUNCTION("IMPORTRANGE(""https://docs.google.com/spreadsheets/d/1SX6NBoVAgQJ6U1MVXOaj8PK2l7WJ3RER9xtqwdhxkhw/edit?usp=sharing"",""ชลบุรี!J206"")"),0.0)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IFERROR(__xludf.DUMMYFUNCTION("IMPORTRANGE(""https://docs.google.com/spreadsheets/d/1SX6NBoVAgQJ6U1MVXOaj8PK2l7WJ3RER9xtqwdhxkhw/edit?usp=sharing"",""ชลบุรี!J207"")"),0.0)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IFERROR(__xludf.DUMMYFUNCTION("IMPORTRANGE(""https://docs.google.com/spreadsheets/d/1SX6NBoVAgQJ6U1MVXOaj8PK2l7WJ3RER9xtqwdhxkhw/edit?usp=sharing"",""ชลบุรี!J208"")"),0.0)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IFERROR(__xludf.DUMMYFUNCTION("IMPORTRANGE(""https://docs.google.com/spreadsheets/d/1SX6NBoVAgQJ6U1MVXOaj8PK2l7WJ3RER9xtqwdhxkhw/edit?usp=sharing"",""ชลบุรี!I209"")"),30.0)</f>
        <v>30</v>
      </c>
      <c r="J304" s="238">
        <f>IFERROR(__xludf.DUMMYFUNCTION("IMPORTRANGE(""https://docs.google.com/spreadsheets/d/1SX6NBoVAgQJ6U1MVXOaj8PK2l7WJ3RER9xtqwdhxkhw/edit?usp=sharing"",""ชลบุรี!J209"")"),0.0)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IFERROR(__xludf.DUMMYFUNCTION("IMPORTRANGE(""https://docs.google.com/spreadsheets/d/1SX6NBoVAgQJ6U1MVXOaj8PK2l7WJ3RER9xtqwdhxkhw/edit?usp=sharing"",""ชลบุรี!I211"")"),30.0)</f>
        <v>30</v>
      </c>
      <c r="J306" s="238">
        <f>IFERROR(__xludf.DUMMYFUNCTION("IMPORTRANGE(""https://docs.google.com/spreadsheets/d/1SX6NBoVAgQJ6U1MVXOaj8PK2l7WJ3RER9xtqwdhxkhw/edit?usp=sharing"",""ชลบุรี!J211"")"),0.0)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IFERROR(__xludf.DUMMYFUNCTION("IMPORTRANGE(""https://docs.google.com/spreadsheets/d/1SX6NBoVAgQJ6U1MVXOaj8PK2l7WJ3RER9xtqwdhxkhw/edit?usp=sharing"",""ชลบุรี!J212"")"),0.0)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IFERROR(__xludf.DUMMYFUNCTION("IMPORTRANGE(""https://docs.google.com/spreadsheets/d/1SX6NBoVAgQJ6U1MVXOaj8PK2l7WJ3RER9xtqwdhxkhw/edit?usp=sharing"",""ชลบุรี!J213"")"),0.0)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IFERROR(__xludf.DUMMYFUNCTION("IMPORTRANGE(""https://docs.google.com/spreadsheets/d/1SX6NBoVAgQJ6U1MVXOaj8PK2l7WJ3RER9xtqwdhxkhw/edit?usp=sharing"",""ชลบุรี!I214"")"),2.0)</f>
        <v>2</v>
      </c>
      <c r="J309" s="366">
        <f>IFERROR(__xludf.DUMMYFUNCTION("IMPORTRANGE(""https://docs.google.com/spreadsheets/d/1SX6NBoVAgQJ6U1MVXOaj8PK2l7WJ3RER9xtqwdhxkhw/edit?usp=sharing"",""ชลบุรี!J214"")"),0.0)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359600</v>
      </c>
      <c r="M310" s="183">
        <f t="shared" si="94"/>
        <v>179800</v>
      </c>
      <c r="N310" s="183">
        <f t="shared" si="94"/>
        <v>90145</v>
      </c>
      <c r="O310" s="182">
        <f t="shared" ref="O310:O312" si="96">IF(L310&gt;0,N310*100/L310,0)</f>
        <v>25.06813126</v>
      </c>
      <c r="P310" s="182">
        <f t="shared" ref="P310:P312" si="97">IF(M310&gt;0,N310*100/M310,0)</f>
        <v>50.13626251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359600</v>
      </c>
      <c r="M312" s="188">
        <f t="shared" si="98"/>
        <v>179800</v>
      </c>
      <c r="N312" s="188">
        <f t="shared" si="98"/>
        <v>90145</v>
      </c>
      <c r="O312" s="187">
        <f t="shared" si="96"/>
        <v>25.06813126</v>
      </c>
      <c r="P312" s="187">
        <f t="shared" si="97"/>
        <v>50.13626251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359600</v>
      </c>
      <c r="M314" s="201">
        <f>IFERROR(__xludf.DUMMYFUNCTION("IMPORTRANGE(""https://docs.google.com/spreadsheets/d/1Yj_ptqi66GCucihVvJfMjLAmec39IyEx_6qawtMGysU/edit?usp=sharing"",""สบก!DC62"")"),179800.0)</f>
        <v>179800</v>
      </c>
      <c r="N314" s="202">
        <f>IFERROR(__xludf.DUMMYFUNCTION("IMPORTRANGE(""https://docs.google.com/spreadsheets/d/1Yj_ptqi66GCucihVvJfMjLAmec39IyEx_6qawtMGysU/edit?usp=sharing"",""สบก!DD62"")"),90145.0)</f>
        <v>90145</v>
      </c>
      <c r="O314" s="203">
        <f>IF(L314&gt;0,N314*100/L314,0)</f>
        <v>25.06813126</v>
      </c>
      <c r="P314" s="203">
        <f>IF(M314&gt;0,N314*100/M314,0)</f>
        <v>50.13626251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IFERROR(__xludf.DUMMYFUNCTION("IMPORTRANGE(""https://docs.google.com/spreadsheets/d/1Yj_ptqi66GCucihVvJfMjLAmec39IyEx_6qawtMGysU/edit?usp=sharing"",""สบก!CY62"")"),0.0)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IFERROR(__xludf.DUMMYFUNCTION("IMPORTRANGE(""https://docs.google.com/spreadsheets/d/1Yj_ptqi66GCucihVvJfMjLAmec39IyEx_6qawtMGysU/edit?usp=sharing"",""สบก!CZ62"")"),359600.0)</f>
        <v>359600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IFERROR(__xludf.DUMMYFUNCTION("IMPORTRANGE(""https://docs.google.com/spreadsheets/d/1Yj_ptqi66GCucihVvJfMjLAmec39IyEx_6qawtMGysU/edit?usp=sharing"",""สบก!DA62"")"),0.0)</f>
        <v>0</v>
      </c>
      <c r="M318" s="125"/>
      <c r="N318" s="115">
        <f>IFERROR(__xludf.DUMMYFUNCTION("IMPORTRANGE(""https://docs.google.com/spreadsheets/d/1Yj_ptqi66GCucihVvJfMjLAmec39IyEx_6qawtMGysU/edit?usp=sharing"",""สบก!DE62"")"),0.0)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IFERROR(__xludf.DUMMYFUNCTION("IMPORTRANGE(""https://docs.google.com/spreadsheets/d/1SX6NBoVAgQJ6U1MVXOaj8PK2l7WJ3RER9xtqwdhxkhw/edit?usp=sharing"",""ชลบุรี!J220"")"),1.0)</f>
        <v>1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IFERROR(__xludf.DUMMYFUNCTION("IMPORTRANGE(""https://docs.google.com/spreadsheets/d/1SX6NBoVAgQJ6U1MVXOaj8PK2l7WJ3RER9xtqwdhxkhw/edit?usp=sharing"",""ชลบุรี!J221"")"),0.0)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IFERROR(__xludf.DUMMYFUNCTION("IMPORTRANGE(""https://docs.google.com/spreadsheets/d/1SX6NBoVAgQJ6U1MVXOaj8PK2l7WJ3RER9xtqwdhxkhw/edit?usp=sharing"",""ชลบุรี!J222"")"),0.0)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IFERROR(__xludf.DUMMYFUNCTION("IMPORTRANGE(""https://docs.google.com/spreadsheets/d/1SX6NBoVAgQJ6U1MVXOaj8PK2l7WJ3RER9xtqwdhxkhw/edit?usp=sharing"",""ชลบุรี!J223"")"),0.0)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IFERROR(__xludf.DUMMYFUNCTION("IMPORTRANGE(""https://docs.google.com/spreadsheets/d/1SX6NBoVAgQJ6U1MVXOaj8PK2l7WJ3RER9xtqwdhxkhw/edit?usp=sharing"",""ชลบุรี!I224"")"),2.0)</f>
        <v>2</v>
      </c>
      <c r="J324" s="238">
        <f>IFERROR(__xludf.DUMMYFUNCTION("IMPORTRANGE(""https://docs.google.com/spreadsheets/d/1SX6NBoVAgQJ6U1MVXOaj8PK2l7WJ3RER9xtqwdhxkhw/edit?usp=sharing"",""ชลบุรี!J224"")"),0.0)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IFERROR(__xludf.DUMMYFUNCTION("IMPORTRANGE(""https://docs.google.com/spreadsheets/d/1SX6NBoVAgQJ6U1MVXOaj8PK2l7WJ3RER9xtqwdhxkhw/edit?usp=sharing"",""ชลบุรี!J225"")"),0.0)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IFERROR(__xludf.DUMMYFUNCTION("IMPORTRANGE(""https://docs.google.com/spreadsheets/d/1SX6NBoVAgQJ6U1MVXOaj8PK2l7WJ3RER9xtqwdhxkhw/edit?usp=sharing"",""ชลบุรี!J226"")"),0.0)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IFERROR(__xludf.DUMMYFUNCTION("IMPORTRANGE(""https://docs.google.com/spreadsheets/d/1SX6NBoVAgQJ6U1MVXOaj8PK2l7WJ3RER9xtqwdhxkhw/edit?usp=sharing"",""ชลบุรี!I228"")"),190.0)</f>
        <v>190</v>
      </c>
      <c r="J328" s="372">
        <f>IFERROR(__xludf.DUMMYFUNCTION("IMPORTRANGE(""https://docs.google.com/spreadsheets/d/1SX6NBoVAgQJ6U1MVXOaj8PK2l7WJ3RER9xtqwdhxkhw/edit?usp=sharing"",""ชลบุรี!J228"")"),136.0)</f>
        <v>136</v>
      </c>
      <c r="K328" s="350">
        <f>IF(I328&gt;0,J328*100/I328,0)</f>
        <v>71.57894737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920200</v>
      </c>
      <c r="M329" s="183">
        <f t="shared" si="99"/>
        <v>488210</v>
      </c>
      <c r="N329" s="183">
        <f t="shared" si="99"/>
        <v>293543</v>
      </c>
      <c r="O329" s="182">
        <f t="shared" ref="O329:O331" si="101">IF(L329&gt;0,N329*100/L329,0)</f>
        <v>31.89991306</v>
      </c>
      <c r="P329" s="182">
        <f t="shared" ref="P329:P331" si="102">IF(M329&gt;0,N329*100/M329,0)</f>
        <v>60.12638004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920200</v>
      </c>
      <c r="M331" s="188">
        <f t="shared" si="103"/>
        <v>488210</v>
      </c>
      <c r="N331" s="188">
        <f t="shared" si="103"/>
        <v>293543</v>
      </c>
      <c r="O331" s="187">
        <f t="shared" si="101"/>
        <v>31.89991306</v>
      </c>
      <c r="P331" s="187">
        <f t="shared" si="102"/>
        <v>60.12638004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893200</v>
      </c>
      <c r="M333" s="201">
        <f>IFERROR(__xludf.DUMMYFUNCTION("IMPORTRANGE(""https://docs.google.com/spreadsheets/d/1Yj_ptqi66GCucihVvJfMjLAmec39IyEx_6qawtMGysU/edit?usp=sharing"",""สบก!DL62"")"),488210.0)</f>
        <v>488210</v>
      </c>
      <c r="N333" s="202">
        <f>IFERROR(__xludf.DUMMYFUNCTION("IMPORTRANGE(""https://docs.google.com/spreadsheets/d/1Yj_ptqi66GCucihVvJfMjLAmec39IyEx_6qawtMGysU/edit?usp=sharing"",""สบก!DM62"")"),266543.0)</f>
        <v>266543</v>
      </c>
      <c r="O333" s="203">
        <f>IF(L333&gt;0,N333*100/L333,0)</f>
        <v>29.84135692</v>
      </c>
      <c r="P333" s="203">
        <f>IF(M333&gt;0,N333*100/M333,0)</f>
        <v>54.59597304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IFERROR(__xludf.DUMMYFUNCTION("IMPORTRANGE(""https://docs.google.com/spreadsheets/d/1Yj_ptqi66GCucihVvJfMjLAmec39IyEx_6qawtMGysU/edit?usp=sharing"",""สบก!DH62"")"),470000.0)</f>
        <v>470000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IFERROR(__xludf.DUMMYFUNCTION("IMPORTRANGE(""https://docs.google.com/spreadsheets/d/1Yj_ptqi66GCucihVvJfMjLAmec39IyEx_6qawtMGysU/edit?usp=sharing"",""สบก!DI62"")"),423200.0)</f>
        <v>423200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IFERROR(__xludf.DUMMYFUNCTION("IMPORTRANGE(""https://docs.google.com/spreadsheets/d/1Yj_ptqi66GCucihVvJfMjLAmec39IyEx_6qawtMGysU/edit?usp=sharing"",""สบก!DJ62"")"),27000.0)</f>
        <v>27000</v>
      </c>
      <c r="M337" s="125"/>
      <c r="N337" s="115">
        <f>IFERROR(__xludf.DUMMYFUNCTION("IMPORTRANGE(""https://docs.google.com/spreadsheets/d/1Yj_ptqi66GCucihVvJfMjLAmec39IyEx_6qawtMGysU/edit?usp=sharing"",""สบก!DN62"")"),27000.0)</f>
        <v>27000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IFERROR(__xludf.DUMMYFUNCTION("IMPORTRANGE(""https://docs.google.com/spreadsheets/d/1SX6NBoVAgQJ6U1MVXOaj8PK2l7WJ3RER9xtqwdhxkhw/edit?usp=sharing"",""ชลบุรี!I234"")"),0.0)</f>
        <v>0</v>
      </c>
      <c r="J339" s="222">
        <f>IFERROR(__xludf.DUMMYFUNCTION("IMPORTRANGE(""https://docs.google.com/spreadsheets/d/1SX6NBoVAgQJ6U1MVXOaj8PK2l7WJ3RER9xtqwdhxkhw/edit?usp=sharing"",""ชลบุรี!J234"")"),176.0)</f>
        <v>176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IFERROR(__xludf.DUMMYFUNCTION("IMPORTRANGE(""https://docs.google.com/spreadsheets/d/1SX6NBoVAgQJ6U1MVXOaj8PK2l7WJ3RER9xtqwdhxkhw/edit?usp=sharing"",""ชลบุรี!I235"")"),2700.0)</f>
        <v>2700</v>
      </c>
      <c r="J340" s="222">
        <f>IFERROR(__xludf.DUMMYFUNCTION("IMPORTRANGE(""https://docs.google.com/spreadsheets/d/1SX6NBoVAgQJ6U1MVXOaj8PK2l7WJ3RER9xtqwdhxkhw/edit?usp=sharing"",""ชลบุรี!J235"")"),1658.8600000000001)</f>
        <v>1658.86</v>
      </c>
      <c r="K340" s="375">
        <f t="shared" si="104"/>
        <v>61.43925926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IFERROR(__xludf.DUMMYFUNCTION("IMPORTRANGE(""https://docs.google.com/spreadsheets/d/1SX6NBoVAgQJ6U1MVXOaj8PK2l7WJ3RER9xtqwdhxkhw/edit?usp=sharing"",""ชลบุรี!I236"")"),190.0)</f>
        <v>190</v>
      </c>
      <c r="J341" s="222">
        <f>IFERROR(__xludf.DUMMYFUNCTION("IMPORTRANGE(""https://docs.google.com/spreadsheets/d/1SX6NBoVAgQJ6U1MVXOaj8PK2l7WJ3RER9xtqwdhxkhw/edit?usp=sharing"",""ชลบุรี!J236"")"),130.0)</f>
        <v>130</v>
      </c>
      <c r="K341" s="375">
        <f t="shared" si="104"/>
        <v>68.42105263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IFERROR(__xludf.DUMMYFUNCTION("IMPORTRANGE(""https://docs.google.com/spreadsheets/d/1SX6NBoVAgQJ6U1MVXOaj8PK2l7WJ3RER9xtqwdhxkhw/edit?usp=sharing"",""ชลบุรี!I237"")"),0.0)</f>
        <v>0</v>
      </c>
      <c r="J342" s="222">
        <f>IFERROR(__xludf.DUMMYFUNCTION("IMPORTRANGE(""https://docs.google.com/spreadsheets/d/1SX6NBoVAgQJ6U1MVXOaj8PK2l7WJ3RER9xtqwdhxkhw/edit?usp=sharing"",""ชลบุรี!J237"")"),1542.2)</f>
        <v>1542.2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IFERROR(__xludf.DUMMYFUNCTION("IMPORTRANGE(""https://docs.google.com/spreadsheets/d/1SX6NBoVAgQJ6U1MVXOaj8PK2l7WJ3RER9xtqwdhxkhw/edit?usp=sharing"",""ชลบุรี!I238"")"),190.0)</f>
        <v>190</v>
      </c>
      <c r="J343" s="222">
        <f>IFERROR(__xludf.DUMMYFUNCTION("IMPORTRANGE(""https://docs.google.com/spreadsheets/d/1SX6NBoVAgQJ6U1MVXOaj8PK2l7WJ3RER9xtqwdhxkhw/edit?usp=sharing"",""ชลบุรี!J238"")"),0.0)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IFERROR(__xludf.DUMMYFUNCTION("IMPORTRANGE(""https://docs.google.com/spreadsheets/d/1SX6NBoVAgQJ6U1MVXOaj8PK2l7WJ3RER9xtqwdhxkhw/edit?usp=sharing"",""ชลบุรี!I239"")"),0.0)</f>
        <v>0</v>
      </c>
      <c r="J344" s="222">
        <f>IFERROR(__xludf.DUMMYFUNCTION("IMPORTRANGE(""https://docs.google.com/spreadsheets/d/1SX6NBoVAgQJ6U1MVXOaj8PK2l7WJ3RER9xtqwdhxkhw/edit?usp=sharing"",""ชลบุรี!J239"")"),0.0)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IFERROR(__xludf.DUMMYFUNCTION("IMPORTRANGE(""https://docs.google.com/spreadsheets/d/1SX6NBoVAgQJ6U1MVXOaj8PK2l7WJ3RER9xtqwdhxkhw/edit?usp=sharing"",""ชลบุรี!I240"")"),190.0)</f>
        <v>190</v>
      </c>
      <c r="J345" s="222">
        <f>IFERROR(__xludf.DUMMYFUNCTION("IMPORTRANGE(""https://docs.google.com/spreadsheets/d/1SX6NBoVAgQJ6U1MVXOaj8PK2l7WJ3RER9xtqwdhxkhw/edit?usp=sharing"",""ชลบุรี!J240"")"),136.0)</f>
        <v>136</v>
      </c>
      <c r="K345" s="375">
        <f t="shared" si="104"/>
        <v>71.57894737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IFERROR(__xludf.DUMMYFUNCTION("IMPORTRANGE(""https://docs.google.com/spreadsheets/d/1SX6NBoVAgQJ6U1MVXOaj8PK2l7WJ3RER9xtqwdhxkhw/edit?usp=sharing"",""ชลบุรี!I241"")"),0.0)</f>
        <v>0</v>
      </c>
      <c r="J346" s="222">
        <f>IFERROR(__xludf.DUMMYFUNCTION("IMPORTRANGE(""https://docs.google.com/spreadsheets/d/1SX6NBoVAgQJ6U1MVXOaj8PK2l7WJ3RER9xtqwdhxkhw/edit?usp=sharing"",""ชลบุรี!J241"")"),1595.61)</f>
        <v>1595.61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IFERROR(__xludf.DUMMYFUNCTION("IMPORTRANGE(""https://docs.google.com/spreadsheets/d/1SX6NBoVAgQJ6U1MVXOaj8PK2l7WJ3RER9xtqwdhxkhw/edit?usp=sharing"",""ชลบุรี!L242"")"),1601534.0)</f>
        <v>1601534</v>
      </c>
      <c r="M347" s="391"/>
      <c r="N347" s="391">
        <f>IFERROR(__xludf.DUMMYFUNCTION("IMPORTRANGE(""https://docs.google.com/spreadsheets/d/1SX6NBoVAgQJ6U1MVXOaj8PK2l7WJ3RER9xtqwdhxkhw/edit?usp=sharing"",""ชลบุรี!M242"")"),37591.0)</f>
        <v>37591</v>
      </c>
      <c r="O347" s="391">
        <f>+IF(L347&gt;0,N347*100/L347,0)</f>
        <v>2.347187134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IFERROR(__xludf.DUMMYFUNCTION("IMPORTRANGE(""https://docs.google.com/spreadsheets/d/1SX6NBoVAgQJ6U1MVXOaj8PK2l7WJ3RER9xtqwdhxkhw/edit?usp=sharing"",""ชลบุรี!I244"")"),20.0)</f>
        <v>20</v>
      </c>
      <c r="J349" s="404">
        <f>IFERROR(__xludf.DUMMYFUNCTION("IMPORTRANGE(""https://docs.google.com/spreadsheets/d/1SX6NBoVAgQJ6U1MVXOaj8PK2l7WJ3RER9xtqwdhxkhw/edit?usp=sharing"",""ชลบุรี!J244"")"),0.0)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IFERROR(__xludf.DUMMYFUNCTION("IMPORTRANGE(""https://docs.google.com/spreadsheets/d/1SX6NBoVAgQJ6U1MVXOaj8PK2l7WJ3RER9xtqwdhxkhw/edit?usp=sharing"",""ชลบุรี!L244"")"),221120.0)</f>
        <v>221120</v>
      </c>
      <c r="M349" s="406"/>
      <c r="N349" s="406">
        <f>IFERROR(__xludf.DUMMYFUNCTION("IMPORTRANGE(""https://docs.google.com/spreadsheets/d/1SX6NBoVAgQJ6U1MVXOaj8PK2l7WJ3RER9xtqwdhxkhw/edit?usp=sharing"",""ชลบุรี!M244"")"),23713.0)</f>
        <v>23713</v>
      </c>
      <c r="O349" s="406">
        <f>+IF(L349&gt;0,N349*100/L349,0)</f>
        <v>10.72404124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IFERROR(__xludf.DUMMYFUNCTION("IMPORTRANGE(""https://docs.google.com/spreadsheets/d/1SX6NBoVAgQJ6U1MVXOaj8PK2l7WJ3RER9xtqwdhxkhw/edit?usp=sharing"",""ชลบุรี!I245"")"),20.0)</f>
        <v>20</v>
      </c>
      <c r="J350" s="404">
        <f>IFERROR(__xludf.DUMMYFUNCTION("IMPORTRANGE(""https://docs.google.com/spreadsheets/d/1SX6NBoVAgQJ6U1MVXOaj8PK2l7WJ3RER9xtqwdhxkhw/edit?usp=sharing"",""ชลบุรี!J245"")"),0.0)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IFERROR(__xludf.DUMMYFUNCTION("IMPORTRANGE(""https://docs.google.com/spreadsheets/d/1SX6NBoVAgQJ6U1MVXOaj8PK2l7WJ3RER9xtqwdhxkhw/edit?usp=sharing"",""ชลบุรี!L246"")"),0.0)</f>
        <v>0</v>
      </c>
      <c r="M351" s="197"/>
      <c r="N351" s="197">
        <f>IFERROR(__xludf.DUMMYFUNCTION("IMPORTRANGE(""https://docs.google.com/spreadsheets/d/1SX6NBoVAgQJ6U1MVXOaj8PK2l7WJ3RER9xtqwdhxkhw/edit?usp=sharing"",""ชลบุรี!M246"")"),0.0)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IFERROR(__xludf.DUMMYFUNCTION("IMPORTRANGE(""https://docs.google.com/spreadsheets/d/1SX6NBoVAgQJ6U1MVXOaj8PK2l7WJ3RER9xtqwdhxkhw/edit?usp=sharing"",""ชลบุรี!L247"")"),221120.0)</f>
        <v>221120</v>
      </c>
      <c r="M352" s="198"/>
      <c r="N352" s="197">
        <f>IFERROR(__xludf.DUMMYFUNCTION("IMPORTRANGE(""https://docs.google.com/spreadsheets/d/1SX6NBoVAgQJ6U1MVXOaj8PK2l7WJ3RER9xtqwdhxkhw/edit?usp=sharing"",""ชลบุรี!M247"")"),23713.0)</f>
        <v>23713</v>
      </c>
      <c r="O352" s="198">
        <f t="shared" si="106"/>
        <v>10.72404124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IFERROR(__xludf.DUMMYFUNCTION("IMPORTRANGE(""https://docs.google.com/spreadsheets/d/1SX6NBoVAgQJ6U1MVXOaj8PK2l7WJ3RER9xtqwdhxkhw/edit?usp=sharing"",""ชลบุรี!L248"")"),0.0)</f>
        <v>0</v>
      </c>
      <c r="M353" s="203"/>
      <c r="N353" s="203">
        <f>IFERROR(__xludf.DUMMYFUNCTION("IMPORTRANGE(""https://docs.google.com/spreadsheets/d/1SX6NBoVAgQJ6U1MVXOaj8PK2l7WJ3RER9xtqwdhxkhw/edit?usp=sharing"",""ชลบุรี!M248"")"),0.0)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IFERROR(__xludf.DUMMYFUNCTION("IMPORTRANGE(""https://docs.google.com/spreadsheets/d/1SX6NBoVAgQJ6U1MVXOaj8PK2l7WJ3RER9xtqwdhxkhw/edit?usp=sharing"",""ชลบุรี!L249"")"),221120.0)</f>
        <v>221120</v>
      </c>
      <c r="M354" s="203"/>
      <c r="N354" s="200">
        <f>IFERROR(__xludf.DUMMYFUNCTION("IMPORTRANGE(""https://docs.google.com/spreadsheets/d/1SX6NBoVAgQJ6U1MVXOaj8PK2l7WJ3RER9xtqwdhxkhw/edit?usp=sharing"",""ชลบุรี!M249"")"),23713.0)</f>
        <v>23713</v>
      </c>
      <c r="O354" s="203">
        <f t="shared" si="106"/>
        <v>10.72404124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IFERROR(__xludf.DUMMYFUNCTION("IMPORTRANGE(""https://docs.google.com/spreadsheets/d/1SX6NBoVAgQJ6U1MVXOaj8PK2l7WJ3RER9xtqwdhxkhw/edit?usp=sharing"",""ชลบุรี!M250"")"),0.0)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IFERROR(__xludf.DUMMYFUNCTION("IMPORTRANGE(""https://docs.google.com/spreadsheets/d/1SX6NBoVAgQJ6U1MVXOaj8PK2l7WJ3RER9xtqwdhxkhw/edit?usp=sharing"",""ชลบุรี!M251"")"),0.0)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IFERROR(__xludf.DUMMYFUNCTION("IMPORTRANGE(""https://docs.google.com/spreadsheets/d/1SX6NBoVAgQJ6U1MVXOaj8PK2l7WJ3RER9xtqwdhxkhw/edit?usp=sharing"",""ชลบุรี!M252"")"),21633.0)</f>
        <v>21633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IFERROR(__xludf.DUMMYFUNCTION("IMPORTRANGE(""https://docs.google.com/spreadsheets/d/1SX6NBoVAgQJ6U1MVXOaj8PK2l7WJ3RER9xtqwdhxkhw/edit?usp=sharing"",""ชลบุรี!M253"")"),2080.0)</f>
        <v>2080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IFERROR(__xludf.DUMMYFUNCTION("IMPORTRANGE(""https://docs.google.com/spreadsheets/d/1SX6NBoVAgQJ6U1MVXOaj8PK2l7WJ3RER9xtqwdhxkhw/edit?usp=sharing"",""ชลบุรี!J255"")"),1.0)</f>
        <v>1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IFERROR(__xludf.DUMMYFUNCTION("IMPORTRANGE(""https://docs.google.com/spreadsheets/d/1SX6NBoVAgQJ6U1MVXOaj8PK2l7WJ3RER9xtqwdhxkhw/edit?usp=sharing"",""ชลบุรี!J256"")"),0.0)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IFERROR(__xludf.DUMMYFUNCTION("IMPORTRANGE(""https://docs.google.com/spreadsheets/d/1SX6NBoVAgQJ6U1MVXOaj8PK2l7WJ3RER9xtqwdhxkhw/edit?usp=sharing"",""ชลบุรี!J257"")"),0.0)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IFERROR(__xludf.DUMMYFUNCTION("IMPORTRANGE(""https://docs.google.com/spreadsheets/d/1SX6NBoVAgQJ6U1MVXOaj8PK2l7WJ3RER9xtqwdhxkhw/edit?usp=sharing"",""ชลบุรี!J258"")"),0.0)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IFERROR(__xludf.DUMMYFUNCTION("IMPORTRANGE(""https://docs.google.com/spreadsheets/d/1SX6NBoVAgQJ6U1MVXOaj8PK2l7WJ3RER9xtqwdhxkhw/edit?usp=sharing"",""ชลบุรี!J166"")"),0.0)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IFERROR(__xludf.DUMMYFUNCTION("IMPORTRANGE(""https://docs.google.com/spreadsheets/d/1SX6NBoVAgQJ6U1MVXOaj8PK2l7WJ3RER9xtqwdhxkhw/edit?usp=sharing"",""ชลบุรี!J166"")"),0.0)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IFERROR(__xludf.DUMMYFUNCTION("IMPORTRANGE(""https://docs.google.com/spreadsheets/d/1SX6NBoVAgQJ6U1MVXOaj8PK2l7WJ3RER9xtqwdhxkhw/edit?usp=sharing"",""ชลบุรี!J166"")"),0.0)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IFERROR(__xludf.DUMMYFUNCTION("IMPORTRANGE(""https://docs.google.com/spreadsheets/d/1SX6NBoVAgQJ6U1MVXOaj8PK2l7WJ3RER9xtqwdhxkhw/edit?usp=sharing"",""ชลบุรี!J166"")"),0.0)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IFERROR(__xludf.DUMMYFUNCTION("IMPORTRANGE(""https://docs.google.com/spreadsheets/d/1SX6NBoVAgQJ6U1MVXOaj8PK2l7WJ3RER9xtqwdhxkhw/edit?usp=sharing"",""ชลบุรี!I263"")"),20.0)</f>
        <v>20</v>
      </c>
      <c r="J368" s="222">
        <f>IFERROR(__xludf.DUMMYFUNCTION("IMPORTRANGE(""https://docs.google.com/spreadsheets/d/1SX6NBoVAgQJ6U1MVXOaj8PK2l7WJ3RER9xtqwdhxkhw/edit?usp=sharing"",""ชลบุรี!J263"")"),0.0)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IFERROR(__xludf.DUMMYFUNCTION("IMPORTRANGE(""https://docs.google.com/spreadsheets/d/1SX6NBoVAgQJ6U1MVXOaj8PK2l7WJ3RER9xtqwdhxkhw/edit?usp=sharing"",""ชลบุรี!I164"")"),0.0)</f>
        <v>0</v>
      </c>
      <c r="J369" s="238">
        <f>IFERROR(__xludf.DUMMYFUNCTION("IMPORTRANGE(""https://docs.google.com/spreadsheets/d/1SX6NBoVAgQJ6U1MVXOaj8PK2l7WJ3RER9xtqwdhxkhw/edit?usp=sharing"",""ชลบุรี!J164"")"),0.0)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IFERROR(__xludf.DUMMYFUNCTION("IMPORTRANGE(""https://docs.google.com/spreadsheets/d/1SX6NBoVAgQJ6U1MVXOaj8PK2l7WJ3RER9xtqwdhxkhw/edit?usp=sharing"",""ชลบุรี!I265"")"),20.0)</f>
        <v>20</v>
      </c>
      <c r="J370" s="238">
        <f>IFERROR(__xludf.DUMMYFUNCTION("IMPORTRANGE(""https://docs.google.com/spreadsheets/d/1SX6NBoVAgQJ6U1MVXOaj8PK2l7WJ3RER9xtqwdhxkhw/edit?usp=sharing"",""ชลบุรี!J265"")"),0.0)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IFERROR(__xludf.DUMMYFUNCTION("IMPORTRANGE(""https://docs.google.com/spreadsheets/d/1SX6NBoVAgQJ6U1MVXOaj8PK2l7WJ3RER9xtqwdhxkhw/edit?usp=sharing"",""ชลบุรี!I164"")"),0.0)</f>
        <v>0</v>
      </c>
      <c r="J371" s="223">
        <f>IFERROR(__xludf.DUMMYFUNCTION("IMPORTRANGE(""https://docs.google.com/spreadsheets/d/1SX6NBoVAgQJ6U1MVXOaj8PK2l7WJ3RER9xtqwdhxkhw/edit?usp=sharing"",""ชลบุรี!J164"")"),0.0)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IFERROR(__xludf.DUMMYFUNCTION("IMPORTRANGE(""https://docs.google.com/spreadsheets/d/1SX6NBoVAgQJ6U1MVXOaj8PK2l7WJ3RER9xtqwdhxkhw/edit?usp=sharing"",""ชลบุรี!I267"")"),20.0)</f>
        <v>20</v>
      </c>
      <c r="J372" s="223">
        <f>IFERROR(__xludf.DUMMYFUNCTION("IMPORTRANGE(""https://docs.google.com/spreadsheets/d/1SX6NBoVAgQJ6U1MVXOaj8PK2l7WJ3RER9xtqwdhxkhw/edit?usp=sharing"",""ชลบุรี!J267"")"),0.0)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IFERROR(__xludf.DUMMYFUNCTION("IMPORTRANGE(""https://docs.google.com/spreadsheets/d/1SX6NBoVAgQJ6U1MVXOaj8PK2l7WJ3RER9xtqwdhxkhw/edit?usp=sharing"",""ชลบุรี!I164"")"),0.0)</f>
        <v>0</v>
      </c>
      <c r="J373" s="238">
        <f>IFERROR(__xludf.DUMMYFUNCTION("IMPORTRANGE(""https://docs.google.com/spreadsheets/d/1SX6NBoVAgQJ6U1MVXOaj8PK2l7WJ3RER9xtqwdhxkhw/edit?usp=sharing"",""ชลบุรี!J164"")"),0.0)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IFERROR(__xludf.DUMMYFUNCTION("IMPORTRANGE(""https://docs.google.com/spreadsheets/d/1SX6NBoVAgQJ6U1MVXOaj8PK2l7WJ3RER9xtqwdhxkhw/edit?usp=sharing"",""ชลบุรี!I164"")"),0.0)</f>
        <v>0</v>
      </c>
      <c r="J374" s="222">
        <f>IFERROR(__xludf.DUMMYFUNCTION("IMPORTRANGE(""https://docs.google.com/spreadsheets/d/1SX6NBoVAgQJ6U1MVXOaj8PK2l7WJ3RER9xtqwdhxkhw/edit?usp=sharing"",""ชลบุรี!J164"")"),0.0)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IFERROR(__xludf.DUMMYFUNCTION("IMPORTRANGE(""https://docs.google.com/spreadsheets/d/1SX6NBoVAgQJ6U1MVXOaj8PK2l7WJ3RER9xtqwdhxkhw/edit?usp=sharing"",""ชลบุรี!I270"")"),20.0)</f>
        <v>20</v>
      </c>
      <c r="J375" s="222">
        <f>IFERROR(__xludf.DUMMYFUNCTION("IMPORTRANGE(""https://docs.google.com/spreadsheets/d/1SX6NBoVAgQJ6U1MVXOaj8PK2l7WJ3RER9xtqwdhxkhw/edit?usp=sharing"",""ชลบุรี!J270"")"),0.0)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IFERROR(__xludf.DUMMYFUNCTION("IMPORTRANGE(""https://docs.google.com/spreadsheets/d/1SX6NBoVAgQJ6U1MVXOaj8PK2l7WJ3RER9xtqwdhxkhw/edit?usp=sharing"",""ชลบุรี!I271"")"),0.0)</f>
        <v>0</v>
      </c>
      <c r="J376" s="223">
        <f>IFERROR(__xludf.DUMMYFUNCTION("IMPORTRANGE(""https://docs.google.com/spreadsheets/d/1SX6NBoVAgQJ6U1MVXOaj8PK2l7WJ3RER9xtqwdhxkhw/edit?usp=sharing"",""ชลบุรี!J271"")"),0.0)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IFERROR(__xludf.DUMMYFUNCTION("IMPORTRANGE(""https://docs.google.com/spreadsheets/d/1SX6NBoVAgQJ6U1MVXOaj8PK2l7WJ3RER9xtqwdhxkhw/edit?usp=sharing"",""ชลบุรี!I272"")"),20.0)</f>
        <v>20</v>
      </c>
      <c r="J377" s="238">
        <f>IFERROR(__xludf.DUMMYFUNCTION("IMPORTRANGE(""https://docs.google.com/spreadsheets/d/1SX6NBoVAgQJ6U1MVXOaj8PK2l7WJ3RER9xtqwdhxkhw/edit?usp=sharing"",""ชลบุรี!J272"")"),0.0)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IFERROR(__xludf.DUMMYFUNCTION("IMPORTRANGE(""https://docs.google.com/spreadsheets/d/1SX6NBoVAgQJ6U1MVXOaj8PK2l7WJ3RER9xtqwdhxkhw/edit?usp=sharing"",""ชลบุรี!J273"")"),0.0)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IFERROR(__xludf.DUMMYFUNCTION("IMPORTRANGE(""https://docs.google.com/spreadsheets/d/1SX6NBoVAgQJ6U1MVXOaj8PK2l7WJ3RER9xtqwdhxkhw/edit?usp=sharing"",""ชลบุรี!J274"")"),0.0)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IFERROR(__xludf.DUMMYFUNCTION("IMPORTRANGE(""https://docs.google.com/spreadsheets/d/1SX6NBoVAgQJ6U1MVXOaj8PK2l7WJ3RER9xtqwdhxkhw/edit?usp=sharing"",""ชลบุรี!I275"")"),500.0)</f>
        <v>500</v>
      </c>
      <c r="J380" s="404">
        <f>IFERROR(__xludf.DUMMYFUNCTION("IMPORTRANGE(""https://docs.google.com/spreadsheets/d/1SX6NBoVAgQJ6U1MVXOaj8PK2l7WJ3RER9xtqwdhxkhw/edit?usp=sharing"",""ชลบุรี!J275"")"),0.0)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IFERROR(__xludf.DUMMYFUNCTION("IMPORTRANGE(""https://docs.google.com/spreadsheets/d/1SX6NBoVAgQJ6U1MVXOaj8PK2l7WJ3RER9xtqwdhxkhw/edit?usp=sharing"",""ชลบุรี!L275"")"),460140.0)</f>
        <v>460140</v>
      </c>
      <c r="M380" s="406"/>
      <c r="N380" s="406">
        <f>IFERROR(__xludf.DUMMYFUNCTION("IMPORTRANGE(""https://docs.google.com/spreadsheets/d/1SX6NBoVAgQJ6U1MVXOaj8PK2l7WJ3RER9xtqwdhxkhw/edit?usp=sharing"",""ชลบุรี!M275"")"),1720.0)</f>
        <v>1720</v>
      </c>
      <c r="O380" s="406">
        <f>+IF(L380&gt;0,N380*100/L380,0)</f>
        <v>0.3737992785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IFERROR(__xludf.DUMMYFUNCTION("IMPORTRANGE(""https://docs.google.com/spreadsheets/d/1SX6NBoVAgQJ6U1MVXOaj8PK2l7WJ3RER9xtqwdhxkhw/edit?usp=sharing"",""ชลบุรี!I276"")"),50.0)</f>
        <v>50</v>
      </c>
      <c r="J381" s="404">
        <f>IFERROR(__xludf.DUMMYFUNCTION("IMPORTRANGE(""https://docs.google.com/spreadsheets/d/1SX6NBoVAgQJ6U1MVXOaj8PK2l7WJ3RER9xtqwdhxkhw/edit?usp=sharing"",""ชลบุรี!J276"")"),0.0)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IFERROR(__xludf.DUMMYFUNCTION("IMPORTRANGE(""https://docs.google.com/spreadsheets/d/1SX6NBoVAgQJ6U1MVXOaj8PK2l7WJ3RER9xtqwdhxkhw/edit?usp=sharing"",""ชลบุรี!L277"")"),0.0)</f>
        <v>0</v>
      </c>
      <c r="M382" s="197"/>
      <c r="N382" s="197">
        <f>IFERROR(__xludf.DUMMYFUNCTION("IMPORTRANGE(""https://docs.google.com/spreadsheets/d/1SX6NBoVAgQJ6U1MVXOaj8PK2l7WJ3RER9xtqwdhxkhw/edit?usp=sharing"",""ชลบุรี!M277"")"),0.0)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IFERROR(__xludf.DUMMYFUNCTION("IMPORTRANGE(""https://docs.google.com/spreadsheets/d/1SX6NBoVAgQJ6U1MVXOaj8PK2l7WJ3RER9xtqwdhxkhw/edit?usp=sharing"",""ชลบุรี!L278"")"),460140.0)</f>
        <v>460140</v>
      </c>
      <c r="M383" s="198"/>
      <c r="N383" s="198">
        <f>IFERROR(__xludf.DUMMYFUNCTION("IMPORTRANGE(""https://docs.google.com/spreadsheets/d/1SX6NBoVAgQJ6U1MVXOaj8PK2l7WJ3RER9xtqwdhxkhw/edit?usp=sharing"",""ชลบุรี!M278"")"),1720.0)</f>
        <v>1720</v>
      </c>
      <c r="O383" s="198">
        <f t="shared" si="110"/>
        <v>0.3737992785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IFERROR(__xludf.DUMMYFUNCTION("IMPORTRANGE(""https://docs.google.com/spreadsheets/d/1SX6NBoVAgQJ6U1MVXOaj8PK2l7WJ3RER9xtqwdhxkhw/edit?usp=sharing"",""ชลบุรี!L279"")"),0.0)</f>
        <v>0</v>
      </c>
      <c r="M384" s="203"/>
      <c r="N384" s="203">
        <f>IFERROR(__xludf.DUMMYFUNCTION("IMPORTRANGE(""https://docs.google.com/spreadsheets/d/1SX6NBoVAgQJ6U1MVXOaj8PK2l7WJ3RER9xtqwdhxkhw/edit?usp=sharing"",""ชลบุรี!M279"")"),0.0)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IFERROR(__xludf.DUMMYFUNCTION("IMPORTRANGE(""https://docs.google.com/spreadsheets/d/1SX6NBoVAgQJ6U1MVXOaj8PK2l7WJ3RER9xtqwdhxkhw/edit?usp=sharing"",""ชลบุรี!L280"")"),460140.0)</f>
        <v>460140</v>
      </c>
      <c r="M385" s="203"/>
      <c r="N385" s="200">
        <f>IFERROR(__xludf.DUMMYFUNCTION("IMPORTRANGE(""https://docs.google.com/spreadsheets/d/1SX6NBoVAgQJ6U1MVXOaj8PK2l7WJ3RER9xtqwdhxkhw/edit?usp=sharing"",""ชลบุรี!M280"")"),1720.0)</f>
        <v>1720</v>
      </c>
      <c r="O385" s="203">
        <f t="shared" si="110"/>
        <v>0.3737992785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IFERROR(__xludf.DUMMYFUNCTION("IMPORTRANGE(""https://docs.google.com/spreadsheets/d/1SX6NBoVAgQJ6U1MVXOaj8PK2l7WJ3RER9xtqwdhxkhw/edit?usp=sharing"",""ชลบุรี!M281"")"),0.0)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IFERROR(__xludf.DUMMYFUNCTION("IMPORTRANGE(""https://docs.google.com/spreadsheets/d/1SX6NBoVAgQJ6U1MVXOaj8PK2l7WJ3RER9xtqwdhxkhw/edit?usp=sharing"",""ชลบุรี!M282"")"),0.0)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IFERROR(__xludf.DUMMYFUNCTION("IMPORTRANGE(""https://docs.google.com/spreadsheets/d/1SX6NBoVAgQJ6U1MVXOaj8PK2l7WJ3RER9xtqwdhxkhw/edit?usp=sharing"",""ชลบุรี!M283"")"),0.0)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IFERROR(__xludf.DUMMYFUNCTION("IMPORTRANGE(""https://docs.google.com/spreadsheets/d/1SX6NBoVAgQJ6U1MVXOaj8PK2l7WJ3RER9xtqwdhxkhw/edit?usp=sharing"",""ชลบุรี!M284"")"),1720.0)</f>
        <v>1720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IFERROR(__xludf.DUMMYFUNCTION("IMPORTRANGE(""https://docs.google.com/spreadsheets/d/1SX6NBoVAgQJ6U1MVXOaj8PK2l7WJ3RER9xtqwdhxkhw/edit?usp=sharing"",""ชลบุรี!J286"")"),0.0)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IFERROR(__xludf.DUMMYFUNCTION("IMPORTRANGE(""https://docs.google.com/spreadsheets/d/1SX6NBoVAgQJ6U1MVXOaj8PK2l7WJ3RER9xtqwdhxkhw/edit?usp=sharing"",""ชลบุรี!J287"")"),0.0)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IFERROR(__xludf.DUMMYFUNCTION("IMPORTRANGE(""https://docs.google.com/spreadsheets/d/1SX6NBoVAgQJ6U1MVXOaj8PK2l7WJ3RER9xtqwdhxkhw/edit?usp=sharing"",""ชลบุรี!J288"")"),0.0)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IFERROR(__xludf.DUMMYFUNCTION("IMPORTRANGE(""https://docs.google.com/spreadsheets/d/1SX6NBoVAgQJ6U1MVXOaj8PK2l7WJ3RER9xtqwdhxkhw/edit?usp=sharing"",""ชลบุรี!J289"")"),0.0)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IFERROR(__xludf.DUMMYFUNCTION("IMPORTRANGE(""https://docs.google.com/spreadsheets/d/1SX6NBoVAgQJ6U1MVXOaj8PK2l7WJ3RER9xtqwdhxkhw/edit?usp=sharing"",""ชลบุรี!I291"")"),50.0)</f>
        <v>50</v>
      </c>
      <c r="J396" s="232">
        <f>IFERROR(__xludf.DUMMYFUNCTION("IMPORTRANGE(""https://docs.google.com/spreadsheets/d/1SX6NBoVAgQJ6U1MVXOaj8PK2l7WJ3RER9xtqwdhxkhw/edit?usp=sharing"",""ชลบุรี!J291"")"),0.0)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IFERROR(__xludf.DUMMYFUNCTION("IMPORTRANGE(""https://docs.google.com/spreadsheets/d/1SX6NBoVAgQJ6U1MVXOaj8PK2l7WJ3RER9xtqwdhxkhw/edit?usp=sharing"",""ชลบุรี!I292"")"),500.0)</f>
        <v>500</v>
      </c>
      <c r="J397" s="232">
        <f>IFERROR(__xludf.DUMMYFUNCTION("IMPORTRANGE(""https://docs.google.com/spreadsheets/d/1SX6NBoVAgQJ6U1MVXOaj8PK2l7WJ3RER9xtqwdhxkhw/edit?usp=sharing"",""ชลบุรี!J292"")"),0.0)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IFERROR(__xludf.DUMMYFUNCTION("IMPORTRANGE(""https://docs.google.com/spreadsheets/d/1SX6NBoVAgQJ6U1MVXOaj8PK2l7WJ3RER9xtqwdhxkhw/edit?usp=sharing"",""ชลบุรี!I293"")"),50.0)</f>
        <v>50</v>
      </c>
      <c r="J398" s="232">
        <f>IFERROR(__xludf.DUMMYFUNCTION("IMPORTRANGE(""https://docs.google.com/spreadsheets/d/1SX6NBoVAgQJ6U1MVXOaj8PK2l7WJ3RER9xtqwdhxkhw/edit?usp=sharing"",""ชลบุรี!J293"")"),0.0)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IFERROR(__xludf.DUMMYFUNCTION("IMPORTRANGE(""https://docs.google.com/spreadsheets/d/1SX6NBoVAgQJ6U1MVXOaj8PK2l7WJ3RER9xtqwdhxkhw/edit?usp=sharing"",""ชลบุรี!J294"")"),0.0)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IFERROR(__xludf.DUMMYFUNCTION("IMPORTRANGE(""https://docs.google.com/spreadsheets/d/1SX6NBoVAgQJ6U1MVXOaj8PK2l7WJ3RER9xtqwdhxkhw/edit?usp=sharing"",""ชลบุรี!J295"")"),0.0)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IFERROR(__xludf.DUMMYFUNCTION("IMPORTRANGE(""https://docs.google.com/spreadsheets/d/1SX6NBoVAgQJ6U1MVXOaj8PK2l7WJ3RER9xtqwdhxkhw/edit?usp=sharing"",""ชลบุรี!I296"")"),90.0)</f>
        <v>90</v>
      </c>
      <c r="J401" s="404">
        <f>IFERROR(__xludf.DUMMYFUNCTION("IMPORTRANGE(""https://docs.google.com/spreadsheets/d/1SX6NBoVAgQJ6U1MVXOaj8PK2l7WJ3RER9xtqwdhxkhw/edit?usp=sharing"",""ชลบุรี!J296"")"),0.0)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IFERROR(__xludf.DUMMYFUNCTION("IMPORTRANGE(""https://docs.google.com/spreadsheets/d/1SX6NBoVAgQJ6U1MVXOaj8PK2l7WJ3RER9xtqwdhxkhw/edit?usp=sharing"",""ชลบุรี!L296"")"),101920.0)</f>
        <v>101920</v>
      </c>
      <c r="M401" s="406"/>
      <c r="N401" s="406">
        <f>IFERROR(__xludf.DUMMYFUNCTION("IMPORTRANGE(""https://docs.google.com/spreadsheets/d/1SX6NBoVAgQJ6U1MVXOaj8PK2l7WJ3RER9xtqwdhxkhw/edit?usp=sharing"",""ชลบุรี!M296"")"),5260.0)</f>
        <v>5260</v>
      </c>
      <c r="O401" s="406">
        <f>+IF(L401&gt;0,N401*100/L401,0)</f>
        <v>5.160910518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IFERROR(__xludf.DUMMYFUNCTION("IMPORTRANGE(""https://docs.google.com/spreadsheets/d/1SX6NBoVAgQJ6U1MVXOaj8PK2l7WJ3RER9xtqwdhxkhw/edit?usp=sharing"",""ชลบุรี!I297"")"),30.0)</f>
        <v>30</v>
      </c>
      <c r="J402" s="404">
        <f>IFERROR(__xludf.DUMMYFUNCTION("IMPORTRANGE(""https://docs.google.com/spreadsheets/d/1SX6NBoVAgQJ6U1MVXOaj8PK2l7WJ3RER9xtqwdhxkhw/edit?usp=sharing"",""ชลบุรี!J297"")"),20.0)</f>
        <v>20</v>
      </c>
      <c r="K402" s="405">
        <f t="shared" si="112"/>
        <v>66.66666667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IFERROR(__xludf.DUMMYFUNCTION("IMPORTRANGE(""https://docs.google.com/spreadsheets/d/1SX6NBoVAgQJ6U1MVXOaj8PK2l7WJ3RER9xtqwdhxkhw/edit?usp=sharing"",""ชลบุรี!L298"")"),0.0)</f>
        <v>0</v>
      </c>
      <c r="M403" s="197"/>
      <c r="N403" s="203">
        <f>IFERROR(__xludf.DUMMYFUNCTION("IMPORTRANGE(""https://docs.google.com/spreadsheets/d/1SX6NBoVAgQJ6U1MVXOaj8PK2l7WJ3RER9xtqwdhxkhw/edit?usp=sharing"",""ชลบุรี!M298"")"),0.0)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IFERROR(__xludf.DUMMYFUNCTION("IMPORTRANGE(""https://docs.google.com/spreadsheets/d/1SX6NBoVAgQJ6U1MVXOaj8PK2l7WJ3RER9xtqwdhxkhw/edit?usp=sharing"",""ชลบุรี!L299"")"),101920.0)</f>
        <v>101920</v>
      </c>
      <c r="M404" s="198"/>
      <c r="N404" s="203">
        <f>IFERROR(__xludf.DUMMYFUNCTION("IMPORTRANGE(""https://docs.google.com/spreadsheets/d/1SX6NBoVAgQJ6U1MVXOaj8PK2l7WJ3RER9xtqwdhxkhw/edit?usp=sharing"",""ชลบุรี!M299"")"),5260.0)</f>
        <v>5260</v>
      </c>
      <c r="O404" s="203">
        <f t="shared" si="113"/>
        <v>5.160910518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IFERROR(__xludf.DUMMYFUNCTION("IMPORTRANGE(""https://docs.google.com/spreadsheets/d/1SX6NBoVAgQJ6U1MVXOaj8PK2l7WJ3RER9xtqwdhxkhw/edit?usp=sharing"",""ชลบุรี!L300"")"),0.0)</f>
        <v>0</v>
      </c>
      <c r="M405" s="203"/>
      <c r="N405" s="203">
        <f>IFERROR(__xludf.DUMMYFUNCTION("IMPORTRANGE(""https://docs.google.com/spreadsheets/d/1SX6NBoVAgQJ6U1MVXOaj8PK2l7WJ3RER9xtqwdhxkhw/edit?usp=sharing"",""ชลบุรี!M300"")"),0.0)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IFERROR(__xludf.DUMMYFUNCTION("IMPORTRANGE(""https://docs.google.com/spreadsheets/d/1SX6NBoVAgQJ6U1MVXOaj8PK2l7WJ3RER9xtqwdhxkhw/edit?usp=sharing"",""ชลบุรี!L301"")"),101920.0)</f>
        <v>101920</v>
      </c>
      <c r="M406" s="203"/>
      <c r="N406" s="203">
        <f>IFERROR(__xludf.DUMMYFUNCTION("IMPORTRANGE(""https://docs.google.com/spreadsheets/d/1SX6NBoVAgQJ6U1MVXOaj8PK2l7WJ3RER9xtqwdhxkhw/edit?usp=sharing"",""ชลบุรี!M301"")"),5260.0)</f>
        <v>5260</v>
      </c>
      <c r="O406" s="203">
        <f t="shared" si="113"/>
        <v>5.160910518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IFERROR(__xludf.DUMMYFUNCTION("IMPORTRANGE(""https://docs.google.com/spreadsheets/d/1SX6NBoVAgQJ6U1MVXOaj8PK2l7WJ3RER9xtqwdhxkhw/edit?usp=sharing"",""ชลบุรี!M302"")"),0.0)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IFERROR(__xludf.DUMMYFUNCTION("IMPORTRANGE(""https://docs.google.com/spreadsheets/d/1SX6NBoVAgQJ6U1MVXOaj8PK2l7WJ3RER9xtqwdhxkhw/edit?usp=sharing"",""ชลบุรี!M303"")"),0.0)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IFERROR(__xludf.DUMMYFUNCTION("IMPORTRANGE(""https://docs.google.com/spreadsheets/d/1SX6NBoVAgQJ6U1MVXOaj8PK2l7WJ3RER9xtqwdhxkhw/edit?usp=sharing"",""ชลบุรี!M304"")"),0.0)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IFERROR(__xludf.DUMMYFUNCTION("IMPORTRANGE(""https://docs.google.com/spreadsheets/d/1SX6NBoVAgQJ6U1MVXOaj8PK2l7WJ3RER9xtqwdhxkhw/edit?usp=sharing"",""ชลบุรี!M305"")"),5260.0)</f>
        <v>5260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IFERROR(__xludf.DUMMYFUNCTION("IMPORTRANGE(""https://docs.google.com/spreadsheets/d/1SX6NBoVAgQJ6U1MVXOaj8PK2l7WJ3RER9xtqwdhxkhw/edit?usp=sharing"",""ชลบุรี!J307"")"),0.0)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IFERROR(__xludf.DUMMYFUNCTION("IMPORTRANGE(""https://docs.google.com/spreadsheets/d/1SX6NBoVAgQJ6U1MVXOaj8PK2l7WJ3RER9xtqwdhxkhw/edit?usp=sharing"",""ชลบุรี!J308"")"),1.0)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IFERROR(__xludf.DUMMYFUNCTION("IMPORTRANGE(""https://docs.google.com/spreadsheets/d/1SX6NBoVAgQJ6U1MVXOaj8PK2l7WJ3RER9xtqwdhxkhw/edit?usp=sharing"",""ชลบุรี!J309"")"),1.0)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IFERROR(__xludf.DUMMYFUNCTION("IMPORTRANGE(""https://docs.google.com/spreadsheets/d/1SX6NBoVAgQJ6U1MVXOaj8PK2l7WJ3RER9xtqwdhxkhw/edit?usp=sharing"",""ชลบุรี!J310"")"),1.0)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IFERROR(__xludf.DUMMYFUNCTION("IMPORTRANGE(""https://docs.google.com/spreadsheets/d/1SX6NBoVAgQJ6U1MVXOaj8PK2l7WJ3RER9xtqwdhxkhw/edit?usp=sharing"",""ชลบุรี!I311"")"),30.0)</f>
        <v>30</v>
      </c>
      <c r="J416" s="235">
        <f>IFERROR(__xludf.DUMMYFUNCTION("IMPORTRANGE(""https://docs.google.com/spreadsheets/d/1SX6NBoVAgQJ6U1MVXOaj8PK2l7WJ3RER9xtqwdhxkhw/edit?usp=sharing"",""ชลบุรี!J311"")"),20.0)</f>
        <v>20</v>
      </c>
      <c r="K416" s="236">
        <f t="shared" ref="K416:K432" si="114">IF(I416&gt;0,J416*100/I416,0)</f>
        <v>66.66666667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IFERROR(__xludf.DUMMYFUNCTION("IMPORTRANGE(""https://docs.google.com/spreadsheets/d/1SX6NBoVAgQJ6U1MVXOaj8PK2l7WJ3RER9xtqwdhxkhw/edit?usp=sharing"",""ชลบุรี!I312"")"),0.0)</f>
        <v>0</v>
      </c>
      <c r="J417" s="425">
        <f>IFERROR(__xludf.DUMMYFUNCTION("IMPORTRANGE(""https://docs.google.com/spreadsheets/d/1SX6NBoVAgQJ6U1MVXOaj8PK2l7WJ3RER9xtqwdhxkhw/edit?usp=sharing"",""ชลบุรี!J312"")"),0.0)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IFERROR(__xludf.DUMMYFUNCTION("IMPORTRANGE(""https://docs.google.com/spreadsheets/d/1SX6NBoVAgQJ6U1MVXOaj8PK2l7WJ3RER9xtqwdhxkhw/edit?usp=sharing"",""ชลบุรี!I313"")"),0.0)</f>
        <v>0</v>
      </c>
      <c r="J418" s="426">
        <f>IFERROR(__xludf.DUMMYFUNCTION("IMPORTRANGE(""https://docs.google.com/spreadsheets/d/1SX6NBoVAgQJ6U1MVXOaj8PK2l7WJ3RER9xtqwdhxkhw/edit?usp=sharing"",""ชลบุรี!J313"")"),0.0)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IFERROR(__xludf.DUMMYFUNCTION("IMPORTRANGE(""https://docs.google.com/spreadsheets/d/1SX6NBoVAgQJ6U1MVXOaj8PK2l7WJ3RER9xtqwdhxkhw/edit?usp=sharing"",""ชลบุรี!I314"")"),0.0)</f>
        <v>0</v>
      </c>
      <c r="J419" s="427">
        <f>IFERROR(__xludf.DUMMYFUNCTION("IMPORTRANGE(""https://docs.google.com/spreadsheets/d/1SX6NBoVAgQJ6U1MVXOaj8PK2l7WJ3RER9xtqwdhxkhw/edit?usp=sharing"",""ชลบุรี!J314"")"),0.0)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IFERROR(__xludf.DUMMYFUNCTION("IMPORTRANGE(""https://docs.google.com/spreadsheets/d/1SX6NBoVAgQJ6U1MVXOaj8PK2l7WJ3RER9xtqwdhxkhw/edit?usp=sharing"",""ชลบุรี!I315"")"),0.0)</f>
        <v>0</v>
      </c>
      <c r="J420" s="427">
        <f>IFERROR(__xludf.DUMMYFUNCTION("IMPORTRANGE(""https://docs.google.com/spreadsheets/d/1SX6NBoVAgQJ6U1MVXOaj8PK2l7WJ3RER9xtqwdhxkhw/edit?usp=sharing"",""ชลบุรี!J315"")"),0.0)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IFERROR(__xludf.DUMMYFUNCTION("IMPORTRANGE(""https://docs.google.com/spreadsheets/d/1SX6NBoVAgQJ6U1MVXOaj8PK2l7WJ3RER9xtqwdhxkhw/edit?usp=sharing"",""ชลบุรี!I316"")"),20.0)</f>
        <v>20</v>
      </c>
      <c r="J421" s="425">
        <f>IFERROR(__xludf.DUMMYFUNCTION("IMPORTRANGE(""https://docs.google.com/spreadsheets/d/1SX6NBoVAgQJ6U1MVXOaj8PK2l7WJ3RER9xtqwdhxkhw/edit?usp=sharing"",""ชลบุรี!J316"")"),20.0)</f>
        <v>20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IFERROR(__xludf.DUMMYFUNCTION("IMPORTRANGE(""https://docs.google.com/spreadsheets/d/1SX6NBoVAgQJ6U1MVXOaj8PK2l7WJ3RER9xtqwdhxkhw/edit?usp=sharing"",""ชลบุรี!I317"")"),60.0)</f>
        <v>60</v>
      </c>
      <c r="J422" s="426">
        <f>IFERROR(__xludf.DUMMYFUNCTION("IMPORTRANGE(""https://docs.google.com/spreadsheets/d/1SX6NBoVAgQJ6U1MVXOaj8PK2l7WJ3RER9xtqwdhxkhw/edit?usp=sharing"",""ชลบุรี!J317"")"),0.0)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IFERROR(__xludf.DUMMYFUNCTION("IMPORTRANGE(""https://docs.google.com/spreadsheets/d/1SX6NBoVAgQJ6U1MVXOaj8PK2l7WJ3RER9xtqwdhxkhw/edit?usp=sharing"",""ชลบุรี!I318"")"),20.0)</f>
        <v>20</v>
      </c>
      <c r="J423" s="427">
        <f>IFERROR(__xludf.DUMMYFUNCTION("IMPORTRANGE(""https://docs.google.com/spreadsheets/d/1SX6NBoVAgQJ6U1MVXOaj8PK2l7WJ3RER9xtqwdhxkhw/edit?usp=sharing"",""ชลบุรี!J318"")"),20.0)</f>
        <v>20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IFERROR(__xludf.DUMMYFUNCTION("IMPORTRANGE(""https://docs.google.com/spreadsheets/d/1SX6NBoVAgQJ6U1MVXOaj8PK2l7WJ3RER9xtqwdhxkhw/edit?usp=sharing"",""ชลบุรี!I319"")"),20.0)</f>
        <v>20</v>
      </c>
      <c r="J424" s="427">
        <f>IFERROR(__xludf.DUMMYFUNCTION("IMPORTRANGE(""https://docs.google.com/spreadsheets/d/1SX6NBoVAgQJ6U1MVXOaj8PK2l7WJ3RER9xtqwdhxkhw/edit?usp=sharing"",""ชลบุรี!J319"")"),20.0)</f>
        <v>20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IFERROR(__xludf.DUMMYFUNCTION("IMPORTRANGE(""https://docs.google.com/spreadsheets/d/1SX6NBoVAgQJ6U1MVXOaj8PK2l7WJ3RER9xtqwdhxkhw/edit?usp=sharing"",""ชลบุรี!I320"")"),20.0)</f>
        <v>20</v>
      </c>
      <c r="J425" s="427">
        <f>IFERROR(__xludf.DUMMYFUNCTION("IMPORTRANGE(""https://docs.google.com/spreadsheets/d/1SX6NBoVAgQJ6U1MVXOaj8PK2l7WJ3RER9xtqwdhxkhw/edit?usp=sharing"",""ชลบุรี!J320"")"),20.0)</f>
        <v>20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IFERROR(__xludf.DUMMYFUNCTION("IMPORTRANGE(""https://docs.google.com/spreadsheets/d/1SX6NBoVAgQJ6U1MVXOaj8PK2l7WJ3RER9xtqwdhxkhw/edit?usp=sharing"",""ชลบุรี!I321"")"),10.0)</f>
        <v>10</v>
      </c>
      <c r="J426" s="425">
        <f>IFERROR(__xludf.DUMMYFUNCTION("IMPORTRANGE(""https://docs.google.com/spreadsheets/d/1SX6NBoVAgQJ6U1MVXOaj8PK2l7WJ3RER9xtqwdhxkhw/edit?usp=sharing"",""ชลบุรี!J321"")"),0.0)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IFERROR(__xludf.DUMMYFUNCTION("IMPORTRANGE(""https://docs.google.com/spreadsheets/d/1SX6NBoVAgQJ6U1MVXOaj8PK2l7WJ3RER9xtqwdhxkhw/edit?usp=sharing"",""ชลบุรี!I322"")"),30.0)</f>
        <v>30</v>
      </c>
      <c r="J427" s="426">
        <f>IFERROR(__xludf.DUMMYFUNCTION("IMPORTRANGE(""https://docs.google.com/spreadsheets/d/1SX6NBoVAgQJ6U1MVXOaj8PK2l7WJ3RER9xtqwdhxkhw/edit?usp=sharing"",""ชลบุรี!J322"")"),0.0)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IFERROR(__xludf.DUMMYFUNCTION("IMPORTRANGE(""https://docs.google.com/spreadsheets/d/1SX6NBoVAgQJ6U1MVXOaj8PK2l7WJ3RER9xtqwdhxkhw/edit?usp=sharing"",""ชลบุรี!I323"")"),10.0)</f>
        <v>10</v>
      </c>
      <c r="J428" s="427" t="str">
        <f>IFERROR(__xludf.DUMMYFUNCTION("IMPORTRANGE(""https://docs.google.com/spreadsheets/d/1SX6NBoVAgQJ6U1MVXOaj8PK2l7WJ3RER9xtqwdhxkhw/edit?usp=sharing"",""ชลบุรี!J323"")"),"")</f>
        <v/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IFERROR(__xludf.DUMMYFUNCTION("IMPORTRANGE(""https://docs.google.com/spreadsheets/d/1SX6NBoVAgQJ6U1MVXOaj8PK2l7WJ3RER9xtqwdhxkhw/edit?usp=sharing"",""ชลบุรี!I324"")"),10.0)</f>
        <v>10</v>
      </c>
      <c r="J429" s="427">
        <f>IFERROR(__xludf.DUMMYFUNCTION("IMPORTRANGE(""https://docs.google.com/spreadsheets/d/1SX6NBoVAgQJ6U1MVXOaj8PK2l7WJ3RER9xtqwdhxkhw/edit?usp=sharing"",""ชลบุรี!J324"")"),10.0)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IFERROR(__xludf.DUMMYFUNCTION("IMPORTRANGE(""https://docs.google.com/spreadsheets/d/1SX6NBoVAgQJ6U1MVXOaj8PK2l7WJ3RER9xtqwdhxkhw/edit?usp=sharing"",""ชลบุรี!I325"")"),20.0)</f>
        <v>20</v>
      </c>
      <c r="J430" s="425">
        <f>IFERROR(__xludf.DUMMYFUNCTION("IMPORTRANGE(""https://docs.google.com/spreadsheets/d/1SX6NBoVAgQJ6U1MVXOaj8PK2l7WJ3RER9xtqwdhxkhw/edit?usp=sharing"",""ชลบุรี!J325"")"),0.0)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IFERROR(__xludf.DUMMYFUNCTION("IMPORTRANGE(""https://docs.google.com/spreadsheets/d/1SX6NBoVAgQJ6U1MVXOaj8PK2l7WJ3RER9xtqwdhxkhw/edit?usp=sharing"",""ชลบุรี!I326"")"),0.0)</f>
        <v>0</v>
      </c>
      <c r="J431" s="427">
        <f>IFERROR(__xludf.DUMMYFUNCTION("IMPORTRANGE(""https://docs.google.com/spreadsheets/d/1SX6NBoVAgQJ6U1MVXOaj8PK2l7WJ3RER9xtqwdhxkhw/edit?usp=sharing"",""ชลบุรี!J326"")"),0.0)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IFERROR(__xludf.DUMMYFUNCTION("IMPORTRANGE(""https://docs.google.com/spreadsheets/d/1SX6NBoVAgQJ6U1MVXOaj8PK2l7WJ3RER9xtqwdhxkhw/edit?usp=sharing"",""ชลบุรี!I327"")"),20.0)</f>
        <v>20</v>
      </c>
      <c r="J432" s="427">
        <f>IFERROR(__xludf.DUMMYFUNCTION("IMPORTRANGE(""https://docs.google.com/spreadsheets/d/1SX6NBoVAgQJ6U1MVXOaj8PK2l7WJ3RER9xtqwdhxkhw/edit?usp=sharing"",""ชลบุรี!J327"")"),0.0)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IFERROR(__xludf.DUMMYFUNCTION("IMPORTRANGE(""https://docs.google.com/spreadsheets/d/1SX6NBoVAgQJ6U1MVXOaj8PK2l7WJ3RER9xtqwdhxkhw/edit?usp=sharing"",""ชลบุรี!J328"")"),0.0)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IFERROR(__xludf.DUMMYFUNCTION("IMPORTRANGE(""https://docs.google.com/spreadsheets/d/1SX6NBoVAgQJ6U1MVXOaj8PK2l7WJ3RER9xtqwdhxkhw/edit?usp=sharing"",""ชลบุรี!J329"")"),0.0)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IFERROR(__xludf.DUMMYFUNCTION("IMPORTRANGE(""https://docs.google.com/spreadsheets/d/1SX6NBoVAgQJ6U1MVXOaj8PK2l7WJ3RER9xtqwdhxkhw/edit?usp=sharing"",""ชลบุรี!I330"")"),15.0)</f>
        <v>15</v>
      </c>
      <c r="J435" s="443">
        <f>IFERROR(__xludf.DUMMYFUNCTION("IMPORTRANGE(""https://docs.google.com/spreadsheets/d/1SX6NBoVAgQJ6U1MVXOaj8PK2l7WJ3RER9xtqwdhxkhw/edit?usp=sharing"",""ชลบุรี!J330"")"),0.0)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IFERROR(__xludf.DUMMYFUNCTION("IMPORTRANGE(""https://docs.google.com/spreadsheets/d/1SX6NBoVAgQJ6U1MVXOaj8PK2l7WJ3RER9xtqwdhxkhw/edit?usp=sharing"",""ชลบุรี!L330"")"),83000.0)</f>
        <v>83000</v>
      </c>
      <c r="M435" s="445"/>
      <c r="N435" s="445">
        <f>IFERROR(__xludf.DUMMYFUNCTION("IMPORTRANGE(""https://docs.google.com/spreadsheets/d/1SX6NBoVAgQJ6U1MVXOaj8PK2l7WJ3RER9xtqwdhxkhw/edit?usp=sharing"",""ชลบุรี!M330"")"),0.0)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IFERROR(__xludf.DUMMYFUNCTION("IMPORTRANGE(""https://docs.google.com/spreadsheets/d/1SX6NBoVAgQJ6U1MVXOaj8PK2l7WJ3RER9xtqwdhxkhw/edit?usp=sharing"",""ชลบุรี!L331"")"),0.0)</f>
        <v>0</v>
      </c>
      <c r="M436" s="197"/>
      <c r="N436" s="203">
        <f>IFERROR(__xludf.DUMMYFUNCTION("IMPORTRANGE(""https://docs.google.com/spreadsheets/d/1SX6NBoVAgQJ6U1MVXOaj8PK2l7WJ3RER9xtqwdhxkhw/edit?usp=sharing"",""ชลบุรี!M331"")"),0.0)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IFERROR(__xludf.DUMMYFUNCTION("IMPORTRANGE(""https://docs.google.com/spreadsheets/d/1SX6NBoVAgQJ6U1MVXOaj8PK2l7WJ3RER9xtqwdhxkhw/edit?usp=sharing"",""ชลบุรี!L332"")"),83000.0)</f>
        <v>83000</v>
      </c>
      <c r="M437" s="198"/>
      <c r="N437" s="203">
        <f>IFERROR(__xludf.DUMMYFUNCTION("IMPORTRANGE(""https://docs.google.com/spreadsheets/d/1SX6NBoVAgQJ6U1MVXOaj8PK2l7WJ3RER9xtqwdhxkhw/edit?usp=sharing"",""ชลบุรี!M332"")"),0.0)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IFERROR(__xludf.DUMMYFUNCTION("IMPORTRANGE(""https://docs.google.com/spreadsheets/d/1SX6NBoVAgQJ6U1MVXOaj8PK2l7WJ3RER9xtqwdhxkhw/edit?usp=sharing"",""ชลบุรี!L333"")"),0.0)</f>
        <v>0</v>
      </c>
      <c r="M438" s="203"/>
      <c r="N438" s="203">
        <f>IFERROR(__xludf.DUMMYFUNCTION("IMPORTRANGE(""https://docs.google.com/spreadsheets/d/1SX6NBoVAgQJ6U1MVXOaj8PK2l7WJ3RER9xtqwdhxkhw/edit?usp=sharing"",""ชลบุรี!M333"")"),0.0)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IFERROR(__xludf.DUMMYFUNCTION("IMPORTRANGE(""https://docs.google.com/spreadsheets/d/1SX6NBoVAgQJ6U1MVXOaj8PK2l7WJ3RER9xtqwdhxkhw/edit?usp=sharing"",""ชลบุรี!L334"")"),83000.0)</f>
        <v>83000</v>
      </c>
      <c r="M439" s="203"/>
      <c r="N439" s="203">
        <f>IFERROR(__xludf.DUMMYFUNCTION("IMPORTRANGE(""https://docs.google.com/spreadsheets/d/1SX6NBoVAgQJ6U1MVXOaj8PK2l7WJ3RER9xtqwdhxkhw/edit?usp=sharing"",""ชลบุรี!M334"")"),0.0)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IFERROR(__xludf.DUMMYFUNCTION("IMPORTRANGE(""https://docs.google.com/spreadsheets/d/1SX6NBoVAgQJ6U1MVXOaj8PK2l7WJ3RER9xtqwdhxkhw/edit?usp=sharing"",""ชลบุรี!M335"")"),0.0)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IFERROR(__xludf.DUMMYFUNCTION("IMPORTRANGE(""https://docs.google.com/spreadsheets/d/1SX6NBoVAgQJ6U1MVXOaj8PK2l7WJ3RER9xtqwdhxkhw/edit?usp=sharing"",""ชลบุรี!M336"")"),0.0)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IFERROR(__xludf.DUMMYFUNCTION("IMPORTRANGE(""https://docs.google.com/spreadsheets/d/1SX6NBoVAgQJ6U1MVXOaj8PK2l7WJ3RER9xtqwdhxkhw/edit?usp=sharing"",""ชลบุรี!M337"")"),0.0)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IFERROR(__xludf.DUMMYFUNCTION("IMPORTRANGE(""https://docs.google.com/spreadsheets/d/1SX6NBoVAgQJ6U1MVXOaj8PK2l7WJ3RER9xtqwdhxkhw/edit?usp=sharing"",""ชลบุรี!M338"")"),0.0)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IFERROR(__xludf.DUMMYFUNCTION("IMPORTRANGE(""https://docs.google.com/spreadsheets/d/1SX6NBoVAgQJ6U1MVXOaj8PK2l7WJ3RER9xtqwdhxkhw/edit?usp=sharing"",""ชลบุรี!J340"")"),0.0)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IFERROR(__xludf.DUMMYFUNCTION("IMPORTRANGE(""https://docs.google.com/spreadsheets/d/1SX6NBoVAgQJ6U1MVXOaj8PK2l7WJ3RER9xtqwdhxkhw/edit?usp=sharing"",""ชลบุรี!J341"")"),1.0)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IFERROR(__xludf.DUMMYFUNCTION("IMPORTRANGE(""https://docs.google.com/spreadsheets/d/1SX6NBoVAgQJ6U1MVXOaj8PK2l7WJ3RER9xtqwdhxkhw/edit?usp=sharing"",""ชลบุรี!J342"")"),1.0)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IFERROR(__xludf.DUMMYFUNCTION("IMPORTRANGE(""https://docs.google.com/spreadsheets/d/1SX6NBoVAgQJ6U1MVXOaj8PK2l7WJ3RER9xtqwdhxkhw/edit?usp=sharing"",""ชลบุรี!J343"")"),1.0)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IFERROR(__xludf.DUMMYFUNCTION("IMPORTRANGE(""https://docs.google.com/spreadsheets/d/1SX6NBoVAgQJ6U1MVXOaj8PK2l7WJ3RER9xtqwdhxkhw/edit?usp=sharing"",""ชลบุรี!I344"")"),15.0)</f>
        <v>15</v>
      </c>
      <c r="J449" s="235">
        <f>IFERROR(__xludf.DUMMYFUNCTION("IMPORTRANGE(""https://docs.google.com/spreadsheets/d/1SX6NBoVAgQJ6U1MVXOaj8PK2l7WJ3RER9xtqwdhxkhw/edit?usp=sharing"",""ชลบุรี!J344"")"),0.0)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IFERROR(__xludf.DUMMYFUNCTION("IMPORTRANGE(""https://docs.google.com/spreadsheets/d/1SX6NBoVAgQJ6U1MVXOaj8PK2l7WJ3RER9xtqwdhxkhw/edit?usp=sharing"",""ชลบุรี!I345"")"),15.0)</f>
        <v>15</v>
      </c>
      <c r="J450" s="223">
        <f>IFERROR(__xludf.DUMMYFUNCTION("IMPORTRANGE(""https://docs.google.com/spreadsheets/d/1SX6NBoVAgQJ6U1MVXOaj8PK2l7WJ3RER9xtqwdhxkhw/edit?usp=sharing"",""ชลบุรี!J345"")"),0.0)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IFERROR(__xludf.DUMMYFUNCTION("IMPORTRANGE(""https://docs.google.com/spreadsheets/d/1SX6NBoVAgQJ6U1MVXOaj8PK2l7WJ3RER9xtqwdhxkhw/edit?usp=sharing"",""ชลบุรี!I346"")"),0.0)</f>
        <v>0</v>
      </c>
      <c r="J451" s="222">
        <f>IFERROR(__xludf.DUMMYFUNCTION("IMPORTRANGE(""https://docs.google.com/spreadsheets/d/1SX6NBoVAgQJ6U1MVXOaj8PK2l7WJ3RER9xtqwdhxkhw/edit?usp=sharing"",""ชลบุรี!J346"")"),0.0)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IFERROR(__xludf.DUMMYFUNCTION("IMPORTRANGE(""https://docs.google.com/spreadsheets/d/1SX6NBoVAgQJ6U1MVXOaj8PK2l7WJ3RER9xtqwdhxkhw/edit?usp=sharing"",""ชลบุรี!I347"")"),0.0)</f>
        <v>0</v>
      </c>
      <c r="J452" s="222">
        <f>IFERROR(__xludf.DUMMYFUNCTION("IMPORTRANGE(""https://docs.google.com/spreadsheets/d/1SX6NBoVAgQJ6U1MVXOaj8PK2l7WJ3RER9xtqwdhxkhw/edit?usp=sharing"",""ชลบุรี!J347"")"),0.0)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IFERROR(__xludf.DUMMYFUNCTION("IMPORTRANGE(""https://docs.google.com/spreadsheets/d/1SX6NBoVAgQJ6U1MVXOaj8PK2l7WJ3RER9xtqwdhxkhw/edit?usp=sharing"",""ชลบุรี!J348"")"),0.0)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IFERROR(__xludf.DUMMYFUNCTION("IMPORTRANGE(""https://docs.google.com/spreadsheets/d/1SX6NBoVAgQJ6U1MVXOaj8PK2l7WJ3RER9xtqwdhxkhw/edit?usp=sharing"",""ชลบุรี!J349"")"),0.0)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IFERROR(__xludf.DUMMYFUNCTION("IMPORTRANGE(""https://docs.google.com/spreadsheets/d/1SX6NBoVAgQJ6U1MVXOaj8PK2l7WJ3RER9xtqwdhxkhw/edit?usp=sharing"",""ชลบุรี!I350"")"),69028.0)</f>
        <v>69028</v>
      </c>
      <c r="J455" s="404">
        <f>IFERROR(__xludf.DUMMYFUNCTION("IMPORTRANGE(""https://docs.google.com/spreadsheets/d/1SX6NBoVAgQJ6U1MVXOaj8PK2l7WJ3RER9xtqwdhxkhw/edit?usp=sharing"",""ชลบุรี!J350"")"),0.0)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IFERROR(__xludf.DUMMYFUNCTION("IMPORTRANGE(""https://docs.google.com/spreadsheets/d/1SX6NBoVAgQJ6U1MVXOaj8PK2l7WJ3RER9xtqwdhxkhw/edit?usp=sharing"",""ชลบุรี!L350"")"),577044.0)</f>
        <v>577044</v>
      </c>
      <c r="M455" s="406"/>
      <c r="N455" s="406">
        <f>IFERROR(__xludf.DUMMYFUNCTION("IMPORTRANGE(""https://docs.google.com/spreadsheets/d/1SX6NBoVAgQJ6U1MVXOaj8PK2l7WJ3RER9xtqwdhxkhw/edit?usp=sharing"",""ชลบุรี!M350"")"),6298.0)</f>
        <v>6298</v>
      </c>
      <c r="O455" s="406">
        <f t="shared" ref="O455:O459" si="117">+IF(L455&gt;0,N455*100/L455,0)</f>
        <v>1.091424571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IFERROR(__xludf.DUMMYFUNCTION("IMPORTRANGE(""https://docs.google.com/spreadsheets/d/1SX6NBoVAgQJ6U1MVXOaj8PK2l7WJ3RER9xtqwdhxkhw/edit?usp=sharing"",""ชลบุรี!L351"")"),0.0)</f>
        <v>0</v>
      </c>
      <c r="M456" s="197"/>
      <c r="N456" s="203">
        <f>IFERROR(__xludf.DUMMYFUNCTION("IMPORTRANGE(""https://docs.google.com/spreadsheets/d/1SX6NBoVAgQJ6U1MVXOaj8PK2l7WJ3RER9xtqwdhxkhw/edit?usp=sharing"",""ชลบุรี!M351"")"),0.0)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IFERROR(__xludf.DUMMYFUNCTION("IMPORTRANGE(""https://docs.google.com/spreadsheets/d/1SX6NBoVAgQJ6U1MVXOaj8PK2l7WJ3RER9xtqwdhxkhw/edit?usp=sharing"",""ชลบุรี!L352"")"),577044.0)</f>
        <v>577044</v>
      </c>
      <c r="M457" s="198"/>
      <c r="N457" s="203">
        <f>IFERROR(__xludf.DUMMYFUNCTION("IMPORTRANGE(""https://docs.google.com/spreadsheets/d/1SX6NBoVAgQJ6U1MVXOaj8PK2l7WJ3RER9xtqwdhxkhw/edit?usp=sharing"",""ชลบุรี!M352"")"),6298.0)</f>
        <v>6298</v>
      </c>
      <c r="O457" s="203">
        <f t="shared" si="117"/>
        <v>1.091424571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IFERROR(__xludf.DUMMYFUNCTION("IMPORTRANGE(""https://docs.google.com/spreadsheets/d/1SX6NBoVAgQJ6U1MVXOaj8PK2l7WJ3RER9xtqwdhxkhw/edit?usp=sharing"",""ชลบุรี!L353"")"),0.0)</f>
        <v>0</v>
      </c>
      <c r="M458" s="203"/>
      <c r="N458" s="203">
        <f>IFERROR(__xludf.DUMMYFUNCTION("IMPORTRANGE(""https://docs.google.com/spreadsheets/d/1SX6NBoVAgQJ6U1MVXOaj8PK2l7WJ3RER9xtqwdhxkhw/edit?usp=sharing"",""ชลบุรี!M353"")"),0.0)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IFERROR(__xludf.DUMMYFUNCTION("IMPORTRANGE(""https://docs.google.com/spreadsheets/d/1SX6NBoVAgQJ6U1MVXOaj8PK2l7WJ3RER9xtqwdhxkhw/edit?usp=sharing"",""ชลบุรี!L354"")"),577044.0)</f>
        <v>577044</v>
      </c>
      <c r="M459" s="203"/>
      <c r="N459" s="203">
        <f>IFERROR(__xludf.DUMMYFUNCTION("IMPORTRANGE(""https://docs.google.com/spreadsheets/d/1SX6NBoVAgQJ6U1MVXOaj8PK2l7WJ3RER9xtqwdhxkhw/edit?usp=sharing"",""ชลบุรี!M354"")"),6298.0)</f>
        <v>6298</v>
      </c>
      <c r="O459" s="203">
        <f t="shared" si="117"/>
        <v>1.091424571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IFERROR(__xludf.DUMMYFUNCTION("IMPORTRANGE(""https://docs.google.com/spreadsheets/d/1SX6NBoVAgQJ6U1MVXOaj8PK2l7WJ3RER9xtqwdhxkhw/edit?usp=sharing"",""ชลบุรี!M355"")"),0.0)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IFERROR(__xludf.DUMMYFUNCTION("IMPORTRANGE(""https://docs.google.com/spreadsheets/d/1SX6NBoVAgQJ6U1MVXOaj8PK2l7WJ3RER9xtqwdhxkhw/edit?usp=sharing"",""ชลบุรี!M356"")"),0.0)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IFERROR(__xludf.DUMMYFUNCTION("IMPORTRANGE(""https://docs.google.com/spreadsheets/d/1SX6NBoVAgQJ6U1MVXOaj8PK2l7WJ3RER9xtqwdhxkhw/edit?usp=sharing"",""ชลบุรี!M357"")"),0.0)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IFERROR(__xludf.DUMMYFUNCTION("IMPORTRANGE(""https://docs.google.com/spreadsheets/d/1SX6NBoVAgQJ6U1MVXOaj8PK2l7WJ3RER9xtqwdhxkhw/edit?usp=sharing"",""ชลบุรี!M358"")"),6298.0)</f>
        <v>6298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IFERROR(__xludf.DUMMYFUNCTION("IMPORTRANGE(""https://docs.google.com/spreadsheets/d/1SX6NBoVAgQJ6U1MVXOaj8PK2l7WJ3RER9xtqwdhxkhw/edit?usp=sharing"",""ชลบุรี!I359"")"),69028.0)</f>
        <v>69028</v>
      </c>
      <c r="J464" s="301">
        <f>IFERROR(__xludf.DUMMYFUNCTION("IMPORTRANGE(""https://docs.google.com/spreadsheets/d/1SX6NBoVAgQJ6U1MVXOaj8PK2l7WJ3RER9xtqwdhxkhw/edit?usp=sharing"",""ชลบุรี!J359"")"),0.0)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IFERROR(__xludf.DUMMYFUNCTION("IMPORTRANGE(""https://docs.google.com/spreadsheets/d/1SX6NBoVAgQJ6U1MVXOaj8PK2l7WJ3RER9xtqwdhxkhw/edit?usp=sharing"",""ชลบุรี!I360"")"),69028.0)</f>
        <v>69028</v>
      </c>
      <c r="J465" s="453">
        <f>IFERROR(__xludf.DUMMYFUNCTION("IMPORTRANGE(""https://docs.google.com/spreadsheets/d/1SX6NBoVAgQJ6U1MVXOaj8PK2l7WJ3RER9xtqwdhxkhw/edit?usp=sharing"",""ชลบุรี!J360"")"),0.0)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IFERROR(__xludf.DUMMYFUNCTION("IMPORTRANGE(""https://docs.google.com/spreadsheets/d/1SX6NBoVAgQJ6U1MVXOaj8PK2l7WJ3RER9xtqwdhxkhw/edit?usp=sharing"",""ชลบุรี!I361"")"),5288.0)</f>
        <v>5288</v>
      </c>
      <c r="J466" s="453">
        <f>IFERROR(__xludf.DUMMYFUNCTION("IMPORTRANGE(""https://docs.google.com/spreadsheets/d/1SX6NBoVAgQJ6U1MVXOaj8PK2l7WJ3RER9xtqwdhxkhw/edit?usp=sharing"",""ชลบุรี!J361"")"),0.0)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IFERROR(__xludf.DUMMYFUNCTION("IMPORTRANGE(""https://docs.google.com/spreadsheets/d/1SX6NBoVAgQJ6U1MVXOaj8PK2l7WJ3RER9xtqwdhxkhw/edit?usp=sharing"",""ชลบุรี!I362"")"),0.0)</f>
        <v>0</v>
      </c>
      <c r="J467" s="223">
        <f>IFERROR(__xludf.DUMMYFUNCTION("IMPORTRANGE(""https://docs.google.com/spreadsheets/d/1SX6NBoVAgQJ6U1MVXOaj8PK2l7WJ3RER9xtqwdhxkhw/edit?usp=sharing"",""ชลบุรี!J362"")"),0.0)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IFERROR(__xludf.DUMMYFUNCTION("IMPORTRANGE(""https://docs.google.com/spreadsheets/d/1SX6NBoVAgQJ6U1MVXOaj8PK2l7WJ3RER9xtqwdhxkhw/edit?usp=sharing"",""ชลบุรี!I363"")"),0.0)</f>
        <v>0</v>
      </c>
      <c r="J468" s="223">
        <f>IFERROR(__xludf.DUMMYFUNCTION("IMPORTRANGE(""https://docs.google.com/spreadsheets/d/1SX6NBoVAgQJ6U1MVXOaj8PK2l7WJ3RER9xtqwdhxkhw/edit?usp=sharing"",""ชลบุรี!J363"")"),0.0)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IFERROR(__xludf.DUMMYFUNCTION("IMPORTRANGE(""https://docs.google.com/spreadsheets/d/1SX6NBoVAgQJ6U1MVXOaj8PK2l7WJ3RER9xtqwdhxkhw/edit?usp=sharing"",""ชลบุรี!I364"")"),0.0)</f>
        <v>0</v>
      </c>
      <c r="J469" s="223">
        <f>IFERROR(__xludf.DUMMYFUNCTION("IMPORTRANGE(""https://docs.google.com/spreadsheets/d/1SX6NBoVAgQJ6U1MVXOaj8PK2l7WJ3RER9xtqwdhxkhw/edit?usp=sharing"",""ชลบุรี!J364"")"),0.0)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IFERROR(__xludf.DUMMYFUNCTION("IMPORTRANGE(""https://docs.google.com/spreadsheets/d/1SX6NBoVAgQJ6U1MVXOaj8PK2l7WJ3RER9xtqwdhxkhw/edit?usp=sharing"",""ชลบุรี!I365"")"),0.0)</f>
        <v>0</v>
      </c>
      <c r="J470" s="223">
        <f>IFERROR(__xludf.DUMMYFUNCTION("IMPORTRANGE(""https://docs.google.com/spreadsheets/d/1SX6NBoVAgQJ6U1MVXOaj8PK2l7WJ3RER9xtqwdhxkhw/edit?usp=sharing"",""ชลบุรี!J365"")"),0.0)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IFERROR(__xludf.DUMMYFUNCTION("IMPORTRANGE(""https://docs.google.com/spreadsheets/d/1SX6NBoVAgQJ6U1MVXOaj8PK2l7WJ3RER9xtqwdhxkhw/edit?usp=sharing"",""ชลบุรี!I366"")"),0.0)</f>
        <v>0</v>
      </c>
      <c r="J471" s="223">
        <f>IFERROR(__xludf.DUMMYFUNCTION("IMPORTRANGE(""https://docs.google.com/spreadsheets/d/1SX6NBoVAgQJ6U1MVXOaj8PK2l7WJ3RER9xtqwdhxkhw/edit?usp=sharing"",""ชลบุรี!J366"")"),0.0)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IFERROR(__xludf.DUMMYFUNCTION("IMPORTRANGE(""https://docs.google.com/spreadsheets/d/1SX6NBoVAgQJ6U1MVXOaj8PK2l7WJ3RER9xtqwdhxkhw/edit?usp=sharing"",""ชลบุรี!I367"")"),0.0)</f>
        <v>0</v>
      </c>
      <c r="J472" s="223">
        <f>IFERROR(__xludf.DUMMYFUNCTION("IMPORTRANGE(""https://docs.google.com/spreadsheets/d/1SX6NBoVAgQJ6U1MVXOaj8PK2l7WJ3RER9xtqwdhxkhw/edit?usp=sharing"",""ชลบุรี!J367"")"),0.0)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IFERROR(__xludf.DUMMYFUNCTION("IMPORTRANGE(""https://docs.google.com/spreadsheets/d/1SX6NBoVAgQJ6U1MVXOaj8PK2l7WJ3RER9xtqwdhxkhw/edit?usp=sharing"",""ชลบุรี!I368"")"),69028.0)</f>
        <v>69028</v>
      </c>
      <c r="J473" s="453">
        <f>IFERROR(__xludf.DUMMYFUNCTION("IMPORTRANGE(""https://docs.google.com/spreadsheets/d/1SX6NBoVAgQJ6U1MVXOaj8PK2l7WJ3RER9xtqwdhxkhw/edit?usp=sharing"",""ชลบุรี!J368"")"),0.0)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IFERROR(__xludf.DUMMYFUNCTION("IMPORTRANGE(""https://docs.google.com/spreadsheets/d/1SX6NBoVAgQJ6U1MVXOaj8PK2l7WJ3RER9xtqwdhxkhw/edit?usp=sharing"",""ชลบุรี!I369"")"),5288.0)</f>
        <v>5288</v>
      </c>
      <c r="J474" s="453">
        <f>IFERROR(__xludf.DUMMYFUNCTION("IMPORTRANGE(""https://docs.google.com/spreadsheets/d/1SX6NBoVAgQJ6U1MVXOaj8PK2l7WJ3RER9xtqwdhxkhw/edit?usp=sharing"",""ชลบุรี!J369"")"),0.0)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IFERROR(__xludf.DUMMYFUNCTION("IMPORTRANGE(""https://docs.google.com/spreadsheets/d/1SX6NBoVAgQJ6U1MVXOaj8PK2l7WJ3RER9xtqwdhxkhw/edit?usp=sharing"",""ชลบุรี!I370"")"),0.0)</f>
        <v>0</v>
      </c>
      <c r="J475" s="223">
        <f>IFERROR(__xludf.DUMMYFUNCTION("IMPORTRANGE(""https://docs.google.com/spreadsheets/d/1SX6NBoVAgQJ6U1MVXOaj8PK2l7WJ3RER9xtqwdhxkhw/edit?usp=sharing"",""ชลบุรี!J370"")"),0.0)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IFERROR(__xludf.DUMMYFUNCTION("IMPORTRANGE(""https://docs.google.com/spreadsheets/d/1SX6NBoVAgQJ6U1MVXOaj8PK2l7WJ3RER9xtqwdhxkhw/edit?usp=sharing"",""ชลบุรี!I371"")"),0.0)</f>
        <v>0</v>
      </c>
      <c r="J476" s="223">
        <f>IFERROR(__xludf.DUMMYFUNCTION("IMPORTRANGE(""https://docs.google.com/spreadsheets/d/1SX6NBoVAgQJ6U1MVXOaj8PK2l7WJ3RER9xtqwdhxkhw/edit?usp=sharing"",""ชลบุรี!J371"")"),0.0)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IFERROR(__xludf.DUMMYFUNCTION("IMPORTRANGE(""https://docs.google.com/spreadsheets/d/1SX6NBoVAgQJ6U1MVXOaj8PK2l7WJ3RER9xtqwdhxkhw/edit?usp=sharing"",""ชลบุรี!I372"")"),0.0)</f>
        <v>0</v>
      </c>
      <c r="J477" s="223">
        <f>IFERROR(__xludf.DUMMYFUNCTION("IMPORTRANGE(""https://docs.google.com/spreadsheets/d/1SX6NBoVAgQJ6U1MVXOaj8PK2l7WJ3RER9xtqwdhxkhw/edit?usp=sharing"",""ชลบุรี!J372"")"),0.0)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IFERROR(__xludf.DUMMYFUNCTION("IMPORTRANGE(""https://docs.google.com/spreadsheets/d/1SX6NBoVAgQJ6U1MVXOaj8PK2l7WJ3RER9xtqwdhxkhw/edit?usp=sharing"",""ชลบุรี!I373"")"),0.0)</f>
        <v>0</v>
      </c>
      <c r="J478" s="223">
        <f>IFERROR(__xludf.DUMMYFUNCTION("IMPORTRANGE(""https://docs.google.com/spreadsheets/d/1SX6NBoVAgQJ6U1MVXOaj8PK2l7WJ3RER9xtqwdhxkhw/edit?usp=sharing"",""ชลบุรี!J373"")"),0.0)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IFERROR(__xludf.DUMMYFUNCTION("IMPORTRANGE(""https://docs.google.com/spreadsheets/d/1SX6NBoVAgQJ6U1MVXOaj8PK2l7WJ3RER9xtqwdhxkhw/edit?usp=sharing"",""ชลบุรี!I374"")"),0.0)</f>
        <v>0</v>
      </c>
      <c r="J479" s="223">
        <f>IFERROR(__xludf.DUMMYFUNCTION("IMPORTRANGE(""https://docs.google.com/spreadsheets/d/1SX6NBoVAgQJ6U1MVXOaj8PK2l7WJ3RER9xtqwdhxkhw/edit?usp=sharing"",""ชลบุรี!J374"")"),0.0)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IFERROR(__xludf.DUMMYFUNCTION("IMPORTRANGE(""https://docs.google.com/spreadsheets/d/1SX6NBoVAgQJ6U1MVXOaj8PK2l7WJ3RER9xtqwdhxkhw/edit?usp=sharing"",""ชลบุรี!I375"")"),0.0)</f>
        <v>0</v>
      </c>
      <c r="J480" s="223">
        <f>IFERROR(__xludf.DUMMYFUNCTION("IMPORTRANGE(""https://docs.google.com/spreadsheets/d/1SX6NBoVAgQJ6U1MVXOaj8PK2l7WJ3RER9xtqwdhxkhw/edit?usp=sharing"",""ชลบุรี!J375"")"),0.0)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IFERROR(__xludf.DUMMYFUNCTION("IMPORTRANGE(""https://docs.google.com/spreadsheets/d/1SX6NBoVAgQJ6U1MVXOaj8PK2l7WJ3RER9xtqwdhxkhw/edit?usp=sharing"",""ชลบุรี!I376"")"),69028.0)</f>
        <v>69028</v>
      </c>
      <c r="J481" s="453">
        <f>IFERROR(__xludf.DUMMYFUNCTION("IMPORTRANGE(""https://docs.google.com/spreadsheets/d/1SX6NBoVAgQJ6U1MVXOaj8PK2l7WJ3RER9xtqwdhxkhw/edit?usp=sharing"",""ชลบุรี!J376"")"),0.0)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IFERROR(__xludf.DUMMYFUNCTION("IMPORTRANGE(""https://docs.google.com/spreadsheets/d/1SX6NBoVAgQJ6U1MVXOaj8PK2l7WJ3RER9xtqwdhxkhw/edit?usp=sharing"",""ชลบุรี!I377"")"),5288.0)</f>
        <v>5288</v>
      </c>
      <c r="J482" s="453">
        <f>IFERROR(__xludf.DUMMYFUNCTION("IMPORTRANGE(""https://docs.google.com/spreadsheets/d/1SX6NBoVAgQJ6U1MVXOaj8PK2l7WJ3RER9xtqwdhxkhw/edit?usp=sharing"",""ชลบุรี!J377"")"),0.0)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IFERROR(__xludf.DUMMYFUNCTION("IMPORTRANGE(""https://docs.google.com/spreadsheets/d/1SX6NBoVAgQJ6U1MVXOaj8PK2l7WJ3RER9xtqwdhxkhw/edit?usp=sharing"",""ชลบุรี!I378"")"),0.0)</f>
        <v>0</v>
      </c>
      <c r="J483" s="223">
        <f>IFERROR(__xludf.DUMMYFUNCTION("IMPORTRANGE(""https://docs.google.com/spreadsheets/d/1SX6NBoVAgQJ6U1MVXOaj8PK2l7WJ3RER9xtqwdhxkhw/edit?usp=sharing"",""ชลบุรี!J378"")"),0.0)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IFERROR(__xludf.DUMMYFUNCTION("IMPORTRANGE(""https://docs.google.com/spreadsheets/d/1SX6NBoVAgQJ6U1MVXOaj8PK2l7WJ3RER9xtqwdhxkhw/edit?usp=sharing"",""ชลบุรี!I379"")"),0.0)</f>
        <v>0</v>
      </c>
      <c r="J484" s="223">
        <f>IFERROR(__xludf.DUMMYFUNCTION("IMPORTRANGE(""https://docs.google.com/spreadsheets/d/1SX6NBoVAgQJ6U1MVXOaj8PK2l7WJ3RER9xtqwdhxkhw/edit?usp=sharing"",""ชลบุรี!J379"")"),0.0)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IFERROR(__xludf.DUMMYFUNCTION("IMPORTRANGE(""https://docs.google.com/spreadsheets/d/1SX6NBoVAgQJ6U1MVXOaj8PK2l7WJ3RER9xtqwdhxkhw/edit?usp=sharing"",""ชลบุรี!I380"")"),0.0)</f>
        <v>0</v>
      </c>
      <c r="J485" s="223">
        <f>IFERROR(__xludf.DUMMYFUNCTION("IMPORTRANGE(""https://docs.google.com/spreadsheets/d/1SX6NBoVAgQJ6U1MVXOaj8PK2l7WJ3RER9xtqwdhxkhw/edit?usp=sharing"",""ชลบุรี!J380"")"),0.0)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IFERROR(__xludf.DUMMYFUNCTION("IMPORTRANGE(""https://docs.google.com/spreadsheets/d/1SX6NBoVAgQJ6U1MVXOaj8PK2l7WJ3RER9xtqwdhxkhw/edit?usp=sharing"",""ชลบุรี!I381"")"),0.0)</f>
        <v>0</v>
      </c>
      <c r="J486" s="223">
        <f>IFERROR(__xludf.DUMMYFUNCTION("IMPORTRANGE(""https://docs.google.com/spreadsheets/d/1SX6NBoVAgQJ6U1MVXOaj8PK2l7WJ3RER9xtqwdhxkhw/edit?usp=sharing"",""ชลบุรี!J381"")"),0.0)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IFERROR(__xludf.DUMMYFUNCTION("IMPORTRANGE(""https://docs.google.com/spreadsheets/d/1SX6NBoVAgQJ6U1MVXOaj8PK2l7WJ3RER9xtqwdhxkhw/edit?usp=sharing"",""ชลบุรี!I382"")"),0.0)</f>
        <v>0</v>
      </c>
      <c r="J487" s="453">
        <f>IFERROR(__xludf.DUMMYFUNCTION("IMPORTRANGE(""https://docs.google.com/spreadsheets/d/1SX6NBoVAgQJ6U1MVXOaj8PK2l7WJ3RER9xtqwdhxkhw/edit?usp=sharing"",""ชลบุรี!J382"")"),0.0)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IFERROR(__xludf.DUMMYFUNCTION("IMPORTRANGE(""https://docs.google.com/spreadsheets/d/1SX6NBoVAgQJ6U1MVXOaj8PK2l7WJ3RER9xtqwdhxkhw/edit?usp=sharing"",""ชลบุรี!I383"")"),0.0)</f>
        <v>0</v>
      </c>
      <c r="J488" s="453">
        <f>IFERROR(__xludf.DUMMYFUNCTION("IMPORTRANGE(""https://docs.google.com/spreadsheets/d/1SX6NBoVAgQJ6U1MVXOaj8PK2l7WJ3RER9xtqwdhxkhw/edit?usp=sharing"",""ชลบุรี!J383"")"),0.0)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IFERROR(__xludf.DUMMYFUNCTION("IMPORTRANGE(""https://docs.google.com/spreadsheets/d/1SX6NBoVAgQJ6U1MVXOaj8PK2l7WJ3RER9xtqwdhxkhw/edit?usp=sharing"",""ชลบุรี!I384"")"),0.0)</f>
        <v>0</v>
      </c>
      <c r="J489" s="223">
        <f>IFERROR(__xludf.DUMMYFUNCTION("IMPORTRANGE(""https://docs.google.com/spreadsheets/d/1SX6NBoVAgQJ6U1MVXOaj8PK2l7WJ3RER9xtqwdhxkhw/edit?usp=sharing"",""ชลบุรี!J384"")"),0.0)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IFERROR(__xludf.DUMMYFUNCTION("IMPORTRANGE(""https://docs.google.com/spreadsheets/d/1SX6NBoVAgQJ6U1MVXOaj8PK2l7WJ3RER9xtqwdhxkhw/edit?usp=sharing"",""ชลบุรี!I385"")"),0.0)</f>
        <v>0</v>
      </c>
      <c r="J490" s="223">
        <f>IFERROR(__xludf.DUMMYFUNCTION("IMPORTRANGE(""https://docs.google.com/spreadsheets/d/1SX6NBoVAgQJ6U1MVXOaj8PK2l7WJ3RER9xtqwdhxkhw/edit?usp=sharing"",""ชลบุรี!J385"")"),0.0)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IFERROR(__xludf.DUMMYFUNCTION("IMPORTRANGE(""https://docs.google.com/spreadsheets/d/1SX6NBoVAgQJ6U1MVXOaj8PK2l7WJ3RER9xtqwdhxkhw/edit?usp=sharing"",""ชลบุรี!I386"")"),0.0)</f>
        <v>0</v>
      </c>
      <c r="J491" s="223">
        <f>IFERROR(__xludf.DUMMYFUNCTION("IMPORTRANGE(""https://docs.google.com/spreadsheets/d/1SX6NBoVAgQJ6U1MVXOaj8PK2l7WJ3RER9xtqwdhxkhw/edit?usp=sharing"",""ชลบุรี!J386"")"),0.0)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IFERROR(__xludf.DUMMYFUNCTION("IMPORTRANGE(""https://docs.google.com/spreadsheets/d/1SX6NBoVAgQJ6U1MVXOaj8PK2l7WJ3RER9xtqwdhxkhw/edit?usp=sharing"",""ชลบุรี!I387"")"),0.0)</f>
        <v>0</v>
      </c>
      <c r="J492" s="223">
        <f>IFERROR(__xludf.DUMMYFUNCTION("IMPORTRANGE(""https://docs.google.com/spreadsheets/d/1SX6NBoVAgQJ6U1MVXOaj8PK2l7WJ3RER9xtqwdhxkhw/edit?usp=sharing"",""ชลบุรี!J387"")"),0.0)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IFERROR(__xludf.DUMMYFUNCTION("IMPORTRANGE(""https://docs.google.com/spreadsheets/d/1SX6NBoVAgQJ6U1MVXOaj8PK2l7WJ3RER9xtqwdhxkhw/edit?usp=sharing"",""ชลบุรี!I388"")"),0.0)</f>
        <v>0</v>
      </c>
      <c r="J493" s="223">
        <f>IFERROR(__xludf.DUMMYFUNCTION("IMPORTRANGE(""https://docs.google.com/spreadsheets/d/1SX6NBoVAgQJ6U1MVXOaj8PK2l7WJ3RER9xtqwdhxkhw/edit?usp=sharing"",""ชลบุรี!J388"")"),0.0)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IFERROR(__xludf.DUMMYFUNCTION("IMPORTRANGE(""https://docs.google.com/spreadsheets/d/1SX6NBoVAgQJ6U1MVXOaj8PK2l7WJ3RER9xtqwdhxkhw/edit?usp=sharing"",""ชลบุรี!I389"")"),0.0)</f>
        <v>0</v>
      </c>
      <c r="J494" s="469">
        <f>IFERROR(__xludf.DUMMYFUNCTION("IMPORTRANGE(""https://docs.google.com/spreadsheets/d/1SX6NBoVAgQJ6U1MVXOaj8PK2l7WJ3RER9xtqwdhxkhw/edit?usp=sharing"",""ชลบุรี!J389"")"),0.0)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IFERROR(__xludf.DUMMYFUNCTION("IMPORTRANGE(""https://docs.google.com/spreadsheets/d/1SX6NBoVAgQJ6U1MVXOaj8PK2l7WJ3RER9xtqwdhxkhw/edit?usp=sharing"",""ชลบุรี!I390"")"),0.0)</f>
        <v>0</v>
      </c>
      <c r="J495" s="469">
        <f>IFERROR(__xludf.DUMMYFUNCTION("IMPORTRANGE(""https://docs.google.com/spreadsheets/d/1SX6NBoVAgQJ6U1MVXOaj8PK2l7WJ3RER9xtqwdhxkhw/edit?usp=sharing"",""ชลบุรี!J390"")"),0.0)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IFERROR(__xludf.DUMMYFUNCTION("IMPORTRANGE(""https://docs.google.com/spreadsheets/d/1SX6NBoVAgQJ6U1MVXOaj8PK2l7WJ3RER9xtqwdhxkhw/edit?usp=sharing"",""ชลบุรี!I391"")"),0.0)</f>
        <v>0</v>
      </c>
      <c r="J496" s="469">
        <f>IFERROR(__xludf.DUMMYFUNCTION("IMPORTRANGE(""https://docs.google.com/spreadsheets/d/1SX6NBoVAgQJ6U1MVXOaj8PK2l7WJ3RER9xtqwdhxkhw/edit?usp=sharing"",""ชลบุรี!J391"")"),0.0)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IFERROR(__xludf.DUMMYFUNCTION("IMPORTRANGE(""https://docs.google.com/spreadsheets/d/1SX6NBoVAgQJ6U1MVXOaj8PK2l7WJ3RER9xtqwdhxkhw/edit?usp=sharing"",""ชลบุรี!I392"")"),3158.0)</f>
        <v>3158</v>
      </c>
      <c r="J497" s="476">
        <f>IFERROR(__xludf.DUMMYFUNCTION("IMPORTRANGE(""https://docs.google.com/spreadsheets/d/1SX6NBoVAgQJ6U1MVXOaj8PK2l7WJ3RER9xtqwdhxkhw/edit?usp=sharing"",""ชลบุรี!J392"")"),0.0)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IFERROR(__xludf.DUMMYFUNCTION("IMPORTRANGE(""https://docs.google.com/spreadsheets/d/1SX6NBoVAgQJ6U1MVXOaj8PK2l7WJ3RER9xtqwdhxkhw/edit?usp=sharing"",""ชลบุรี!I393"")"),3158.0)</f>
        <v>3158</v>
      </c>
      <c r="J498" s="453">
        <f>IFERROR(__xludf.DUMMYFUNCTION("IMPORTRANGE(""https://docs.google.com/spreadsheets/d/1SX6NBoVAgQJ6U1MVXOaj8PK2l7WJ3RER9xtqwdhxkhw/edit?usp=sharing"",""ชลบุรี!J393"")"),0.0)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IFERROR(__xludf.DUMMYFUNCTION("IMPORTRANGE(""https://docs.google.com/spreadsheets/d/1SX6NBoVAgQJ6U1MVXOaj8PK2l7WJ3RER9xtqwdhxkhw/edit?usp=sharing"",""ชลบุรี!I394"")"),178.0)</f>
        <v>178</v>
      </c>
      <c r="J499" s="453">
        <f>IFERROR(__xludf.DUMMYFUNCTION("IMPORTRANGE(""https://docs.google.com/spreadsheets/d/1SX6NBoVAgQJ6U1MVXOaj8PK2l7WJ3RER9xtqwdhxkhw/edit?usp=sharing"",""ชลบุรี!J394"")"),0.0)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IFERROR(__xludf.DUMMYFUNCTION("IMPORTRANGE(""https://docs.google.com/spreadsheets/d/1SX6NBoVAgQJ6U1MVXOaj8PK2l7WJ3RER9xtqwdhxkhw/edit?usp=sharing"",""ชลบุรี!I395"")"),0.0)</f>
        <v>0</v>
      </c>
      <c r="J500" s="195">
        <f>IFERROR(__xludf.DUMMYFUNCTION("IMPORTRANGE(""https://docs.google.com/spreadsheets/d/1SX6NBoVAgQJ6U1MVXOaj8PK2l7WJ3RER9xtqwdhxkhw/edit?usp=sharing"",""ชลบุรี!J395"")"),0.0)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IFERROR(__xludf.DUMMYFUNCTION("IMPORTRANGE(""https://docs.google.com/spreadsheets/d/1SX6NBoVAgQJ6U1MVXOaj8PK2l7WJ3RER9xtqwdhxkhw/edit?usp=sharing"",""ชลบุรี!I396"")"),0.0)</f>
        <v>0</v>
      </c>
      <c r="J501" s="195">
        <f>IFERROR(__xludf.DUMMYFUNCTION("IMPORTRANGE(""https://docs.google.com/spreadsheets/d/1SX6NBoVAgQJ6U1MVXOaj8PK2l7WJ3RER9xtqwdhxkhw/edit?usp=sharing"",""ชลบุรี!J396"")"),0.0)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IFERROR(__xludf.DUMMYFUNCTION("IMPORTRANGE(""https://docs.google.com/spreadsheets/d/1SX6NBoVAgQJ6U1MVXOaj8PK2l7WJ3RER9xtqwdhxkhw/edit?usp=sharing"",""ชลบุรี!I397"")"),0.0)</f>
        <v>0</v>
      </c>
      <c r="J502" s="223">
        <f>IFERROR(__xludf.DUMMYFUNCTION("IMPORTRANGE(""https://docs.google.com/spreadsheets/d/1SX6NBoVAgQJ6U1MVXOaj8PK2l7WJ3RER9xtqwdhxkhw/edit?usp=sharing"",""ชลบุรี!J397"")"),0.0)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IFERROR(__xludf.DUMMYFUNCTION("IMPORTRANGE(""https://docs.google.com/spreadsheets/d/1SX6NBoVAgQJ6U1MVXOaj8PK2l7WJ3RER9xtqwdhxkhw/edit?usp=sharing"",""ชลบุรี!I398"")"),0.0)</f>
        <v>0</v>
      </c>
      <c r="J503" s="232">
        <f>IFERROR(__xludf.DUMMYFUNCTION("IMPORTRANGE(""https://docs.google.com/spreadsheets/d/1SX6NBoVAgQJ6U1MVXOaj8PK2l7WJ3RER9xtqwdhxkhw/edit?usp=sharing"",""ชลบุรี!J398"")"),0.0)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IFERROR(__xludf.DUMMYFUNCTION("IMPORTRANGE(""https://docs.google.com/spreadsheets/d/1SX6NBoVAgQJ6U1MVXOaj8PK2l7WJ3RER9xtqwdhxkhw/edit?usp=sharing"",""ชลบุรี!I399"")"),0.0)</f>
        <v>0</v>
      </c>
      <c r="J504" s="223">
        <f>IFERROR(__xludf.DUMMYFUNCTION("IMPORTRANGE(""https://docs.google.com/spreadsheets/d/1SX6NBoVAgQJ6U1MVXOaj8PK2l7WJ3RER9xtqwdhxkhw/edit?usp=sharing"",""ชลบุรี!J399"")"),0.0)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IFERROR(__xludf.DUMMYFUNCTION("IMPORTRANGE(""https://docs.google.com/spreadsheets/d/1SX6NBoVAgQJ6U1MVXOaj8PK2l7WJ3RER9xtqwdhxkhw/edit?usp=sharing"",""ชลบุรี!I400"")"),0.0)</f>
        <v>0</v>
      </c>
      <c r="J505" s="232">
        <f>IFERROR(__xludf.DUMMYFUNCTION("IMPORTRANGE(""https://docs.google.com/spreadsheets/d/1SX6NBoVAgQJ6U1MVXOaj8PK2l7WJ3RER9xtqwdhxkhw/edit?usp=sharing"",""ชลบุรี!J400"")"),0.0)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IFERROR(__xludf.DUMMYFUNCTION("IMPORTRANGE(""https://docs.google.com/spreadsheets/d/1SX6NBoVAgQJ6U1MVXOaj8PK2l7WJ3RER9xtqwdhxkhw/edit?usp=sharing"",""ชลบุรี!I401"")"),0.0)</f>
        <v>0</v>
      </c>
      <c r="J506" s="223">
        <f>IFERROR(__xludf.DUMMYFUNCTION("IMPORTRANGE(""https://docs.google.com/spreadsheets/d/1SX6NBoVAgQJ6U1MVXOaj8PK2l7WJ3RER9xtqwdhxkhw/edit?usp=sharing"",""ชลบุรี!J401"")"),0.0)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IFERROR(__xludf.DUMMYFUNCTION("IMPORTRANGE(""https://docs.google.com/spreadsheets/d/1SX6NBoVAgQJ6U1MVXOaj8PK2l7WJ3RER9xtqwdhxkhw/edit?usp=sharing"",""ชลบุรี!I402"")"),0.0)</f>
        <v>0</v>
      </c>
      <c r="J507" s="232">
        <f>IFERROR(__xludf.DUMMYFUNCTION("IMPORTRANGE(""https://docs.google.com/spreadsheets/d/1SX6NBoVAgQJ6U1MVXOaj8PK2l7WJ3RER9xtqwdhxkhw/edit?usp=sharing"",""ชลบุรี!J402"")"),0.0)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IFERROR(__xludf.DUMMYFUNCTION("IMPORTRANGE(""https://docs.google.com/spreadsheets/d/1SX6NBoVAgQJ6U1MVXOaj8PK2l7WJ3RER9xtqwdhxkhw/edit?usp=sharing"",""ชลบุรี!I403"")"),0.0)</f>
        <v>0</v>
      </c>
      <c r="J508" s="195">
        <f>IFERROR(__xludf.DUMMYFUNCTION("IMPORTRANGE(""https://docs.google.com/spreadsheets/d/1SX6NBoVAgQJ6U1MVXOaj8PK2l7WJ3RER9xtqwdhxkhw/edit?usp=sharing"",""ชลบุรี!J403"")"),0.0)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IFERROR(__xludf.DUMMYFUNCTION("IMPORTRANGE(""https://docs.google.com/spreadsheets/d/1SX6NBoVAgQJ6U1MVXOaj8PK2l7WJ3RER9xtqwdhxkhw/edit?usp=sharing"",""ชลบุรี!I404"")"),0.0)</f>
        <v>0</v>
      </c>
      <c r="J509" s="195">
        <f>IFERROR(__xludf.DUMMYFUNCTION("IMPORTRANGE(""https://docs.google.com/spreadsheets/d/1SX6NBoVAgQJ6U1MVXOaj8PK2l7WJ3RER9xtqwdhxkhw/edit?usp=sharing"",""ชลบุรี!J404"")"),0.0)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IFERROR(__xludf.DUMMYFUNCTION("IMPORTRANGE(""https://docs.google.com/spreadsheets/d/1SX6NBoVAgQJ6U1MVXOaj8PK2l7WJ3RER9xtqwdhxkhw/edit?usp=sharing"",""ชลบุรี!I405"")"),0.0)</f>
        <v>0</v>
      </c>
      <c r="J510" s="232">
        <f>IFERROR(__xludf.DUMMYFUNCTION("IMPORTRANGE(""https://docs.google.com/spreadsheets/d/1SX6NBoVAgQJ6U1MVXOaj8PK2l7WJ3RER9xtqwdhxkhw/edit?usp=sharing"",""ชลบุรี!J405"")"),0.0)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IFERROR(__xludf.DUMMYFUNCTION("IMPORTRANGE(""https://docs.google.com/spreadsheets/d/1SX6NBoVAgQJ6U1MVXOaj8PK2l7WJ3RER9xtqwdhxkhw/edit?usp=sharing"",""ชลบุรี!I406"")"),0.0)</f>
        <v>0</v>
      </c>
      <c r="J511" s="232">
        <f>IFERROR(__xludf.DUMMYFUNCTION("IMPORTRANGE(""https://docs.google.com/spreadsheets/d/1SX6NBoVAgQJ6U1MVXOaj8PK2l7WJ3RER9xtqwdhxkhw/edit?usp=sharing"",""ชลบุรี!J406"")"),0.0)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IFERROR(__xludf.DUMMYFUNCTION("IMPORTRANGE(""https://docs.google.com/spreadsheets/d/1SX6NBoVAgQJ6U1MVXOaj8PK2l7WJ3RER9xtqwdhxkhw/edit?usp=sharing"",""ชลบุรี!I407"")"),0.0)</f>
        <v>0</v>
      </c>
      <c r="J512" s="232">
        <f>IFERROR(__xludf.DUMMYFUNCTION("IMPORTRANGE(""https://docs.google.com/spreadsheets/d/1SX6NBoVAgQJ6U1MVXOaj8PK2l7WJ3RER9xtqwdhxkhw/edit?usp=sharing"",""ชลบุรี!J407"")"),0.0)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IFERROR(__xludf.DUMMYFUNCTION("IMPORTRANGE(""https://docs.google.com/spreadsheets/d/1SX6NBoVAgQJ6U1MVXOaj8PK2l7WJ3RER9xtqwdhxkhw/edit?usp=sharing"",""ชลบุรี!I408"")"),0.0)</f>
        <v>0</v>
      </c>
      <c r="J513" s="232">
        <f>IFERROR(__xludf.DUMMYFUNCTION("IMPORTRANGE(""https://docs.google.com/spreadsheets/d/1SX6NBoVAgQJ6U1MVXOaj8PK2l7WJ3RER9xtqwdhxkhw/edit?usp=sharing"",""ชลบุรี!J408"")"),0.0)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IFERROR(__xludf.DUMMYFUNCTION("IMPORTRANGE(""https://docs.google.com/spreadsheets/d/1SX6NBoVAgQJ6U1MVXOaj8PK2l7WJ3RER9xtqwdhxkhw/edit?usp=sharing"",""ชลบุรี!I409"")"),0.0)</f>
        <v>0</v>
      </c>
      <c r="J514" s="232">
        <f>IFERROR(__xludf.DUMMYFUNCTION("IMPORTRANGE(""https://docs.google.com/spreadsheets/d/1SX6NBoVAgQJ6U1MVXOaj8PK2l7WJ3RER9xtqwdhxkhw/edit?usp=sharing"",""ชลบุรี!J409"")"),0.0)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IFERROR(__xludf.DUMMYFUNCTION("IMPORTRANGE(""https://docs.google.com/spreadsheets/d/1SX6NBoVAgQJ6U1MVXOaj8PK2l7WJ3RER9xtqwdhxkhw/edit?usp=sharing"",""ชลบุรี!I410"")"),0.0)</f>
        <v>0</v>
      </c>
      <c r="J515" s="232">
        <f>IFERROR(__xludf.DUMMYFUNCTION("IMPORTRANGE(""https://docs.google.com/spreadsheets/d/1SX6NBoVAgQJ6U1MVXOaj8PK2l7WJ3RER9xtqwdhxkhw/edit?usp=sharing"",""ชลบุรี!J410"")"),0.0)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IFERROR(__xludf.DUMMYFUNCTION("IMPORTRANGE(""https://docs.google.com/spreadsheets/d/1SX6NBoVAgQJ6U1MVXOaj8PK2l7WJ3RER9xtqwdhxkhw/edit?usp=sharing"",""ชลบุรี!I411"")"),0.0)</f>
        <v>0</v>
      </c>
      <c r="J516" s="301">
        <f>IFERROR(__xludf.DUMMYFUNCTION("IMPORTRANGE(""https://docs.google.com/spreadsheets/d/1SX6NBoVAgQJ6U1MVXOaj8PK2l7WJ3RER9xtqwdhxkhw/edit?usp=sharing"",""ชลบุรี!J411"")"),0.0)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IFERROR(__xludf.DUMMYFUNCTION("IMPORTRANGE(""https://docs.google.com/spreadsheets/d/1SX6NBoVAgQJ6U1MVXOaj8PK2l7WJ3RER9xtqwdhxkhw/edit?usp=sharing"",""ชลบุรี!I412"")"),0.0)</f>
        <v>0</v>
      </c>
      <c r="J517" s="317">
        <f>IFERROR(__xludf.DUMMYFUNCTION("IMPORTRANGE(""https://docs.google.com/spreadsheets/d/1SX6NBoVAgQJ6U1MVXOaj8PK2l7WJ3RER9xtqwdhxkhw/edit?usp=sharing"",""ชลบุรี!J412"")"),0.0)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IFERROR(__xludf.DUMMYFUNCTION("IMPORTRANGE(""https://docs.google.com/spreadsheets/d/1SX6NBoVAgQJ6U1MVXOaj8PK2l7WJ3RER9xtqwdhxkhw/edit?usp=sharing"",""ชลบุรี!I413"")"),0.0)</f>
        <v>0</v>
      </c>
      <c r="J518" s="317">
        <f>IFERROR(__xludf.DUMMYFUNCTION("IMPORTRANGE(""https://docs.google.com/spreadsheets/d/1SX6NBoVAgQJ6U1MVXOaj8PK2l7WJ3RER9xtqwdhxkhw/edit?usp=sharing"",""ชลบุรี!J413"")"),0.0)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IFERROR(__xludf.DUMMYFUNCTION("IMPORTRANGE(""https://docs.google.com/spreadsheets/d/1SX6NBoVAgQJ6U1MVXOaj8PK2l7WJ3RER9xtqwdhxkhw/edit?usp=sharing"",""ชลบุรี!I414"")"),0.0)</f>
        <v>0</v>
      </c>
      <c r="J519" s="222">
        <f>IFERROR(__xludf.DUMMYFUNCTION("IMPORTRANGE(""https://docs.google.com/spreadsheets/d/1SX6NBoVAgQJ6U1MVXOaj8PK2l7WJ3RER9xtqwdhxkhw/edit?usp=sharing"",""ชลบุรี!J414"")"),0.0)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IFERROR(__xludf.DUMMYFUNCTION("IMPORTRANGE(""https://docs.google.com/spreadsheets/d/1SX6NBoVAgQJ6U1MVXOaj8PK2l7WJ3RER9xtqwdhxkhw/edit?usp=sharing"",""ชลบุรี!I415"")"),0.0)</f>
        <v>0</v>
      </c>
      <c r="J520" s="222">
        <f>IFERROR(__xludf.DUMMYFUNCTION("IMPORTRANGE(""https://docs.google.com/spreadsheets/d/1SX6NBoVAgQJ6U1MVXOaj8PK2l7WJ3RER9xtqwdhxkhw/edit?usp=sharing"",""ชลบุรี!J415"")"),0.0)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IFERROR(__xludf.DUMMYFUNCTION("IMPORTRANGE(""https://docs.google.com/spreadsheets/d/1SX6NBoVAgQJ6U1MVXOaj8PK2l7WJ3RER9xtqwdhxkhw/edit?usp=sharing"",""ชลบุรี!I416"")"),0.0)</f>
        <v>0</v>
      </c>
      <c r="J521" s="222">
        <f>IFERROR(__xludf.DUMMYFUNCTION("IMPORTRANGE(""https://docs.google.com/spreadsheets/d/1SX6NBoVAgQJ6U1MVXOaj8PK2l7WJ3RER9xtqwdhxkhw/edit?usp=sharing"",""ชลบุรี!J416"")"),0.0)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IFERROR(__xludf.DUMMYFUNCTION("IMPORTRANGE(""https://docs.google.com/spreadsheets/d/1SX6NBoVAgQJ6U1MVXOaj8PK2l7WJ3RER9xtqwdhxkhw/edit?usp=sharing"",""ชลบุรี!I417"")"),0.0)</f>
        <v>0</v>
      </c>
      <c r="J522" s="222">
        <f>IFERROR(__xludf.DUMMYFUNCTION("IMPORTRANGE(""https://docs.google.com/spreadsheets/d/1SX6NBoVAgQJ6U1MVXOaj8PK2l7WJ3RER9xtqwdhxkhw/edit?usp=sharing"",""ชลบุรี!J417"")"),0.0)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IFERROR(__xludf.DUMMYFUNCTION("IMPORTRANGE(""https://docs.google.com/spreadsheets/d/1SX6NBoVAgQJ6U1MVXOaj8PK2l7WJ3RER9xtqwdhxkhw/edit?usp=sharing"",""ชลบุรี!I418"")"),0.0)</f>
        <v>0</v>
      </c>
      <c r="J523" s="222">
        <f>IFERROR(__xludf.DUMMYFUNCTION("IMPORTRANGE(""https://docs.google.com/spreadsheets/d/1SX6NBoVAgQJ6U1MVXOaj8PK2l7WJ3RER9xtqwdhxkhw/edit?usp=sharing"",""ชลบุรี!J418"")"),0.0)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IFERROR(__xludf.DUMMYFUNCTION("IMPORTRANGE(""https://docs.google.com/spreadsheets/d/1SX6NBoVAgQJ6U1MVXOaj8PK2l7WJ3RER9xtqwdhxkhw/edit?usp=sharing"",""ชลบุรี!I419"")"),0.0)</f>
        <v>0</v>
      </c>
      <c r="J524" s="222">
        <f>IFERROR(__xludf.DUMMYFUNCTION("IMPORTRANGE(""https://docs.google.com/spreadsheets/d/1SX6NBoVAgQJ6U1MVXOaj8PK2l7WJ3RER9xtqwdhxkhw/edit?usp=sharing"",""ชลบุรี!J419"")"),0.0)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IFERROR(__xludf.DUMMYFUNCTION("IMPORTRANGE(""https://docs.google.com/spreadsheets/d/1SX6NBoVAgQJ6U1MVXOaj8PK2l7WJ3RER9xtqwdhxkhw/edit?usp=sharing"",""ชลบุรี!I420"")"),0.0)</f>
        <v>0</v>
      </c>
      <c r="J525" s="317">
        <f>IFERROR(__xludf.DUMMYFUNCTION("IMPORTRANGE(""https://docs.google.com/spreadsheets/d/1SX6NBoVAgQJ6U1MVXOaj8PK2l7WJ3RER9xtqwdhxkhw/edit?usp=sharing"",""ชลบุรี!J420"")"),0.0)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IFERROR(__xludf.DUMMYFUNCTION("IMPORTRANGE(""https://docs.google.com/spreadsheets/d/1SX6NBoVAgQJ6U1MVXOaj8PK2l7WJ3RER9xtqwdhxkhw/edit?usp=sharing"",""ชลบุรี!I421"")"),0.0)</f>
        <v>0</v>
      </c>
      <c r="J526" s="317">
        <f>IFERROR(__xludf.DUMMYFUNCTION("IMPORTRANGE(""https://docs.google.com/spreadsheets/d/1SX6NBoVAgQJ6U1MVXOaj8PK2l7WJ3RER9xtqwdhxkhw/edit?usp=sharing"",""ชลบุรี!J421"")"),0.0)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IFERROR(__xludf.DUMMYFUNCTION("IMPORTRANGE(""https://docs.google.com/spreadsheets/d/1SX6NBoVAgQJ6U1MVXOaj8PK2l7WJ3RER9xtqwdhxkhw/edit?usp=sharing"",""ชลบุรี!I422"")"),0.0)</f>
        <v>0</v>
      </c>
      <c r="J527" s="232">
        <f>IFERROR(__xludf.DUMMYFUNCTION("IMPORTRANGE(""https://docs.google.com/spreadsheets/d/1SX6NBoVAgQJ6U1MVXOaj8PK2l7WJ3RER9xtqwdhxkhw/edit?usp=sharing"",""ชลบุรี!J422"")"),0.0)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IFERROR(__xludf.DUMMYFUNCTION("IMPORTRANGE(""https://docs.google.com/spreadsheets/d/1SX6NBoVAgQJ6U1MVXOaj8PK2l7WJ3RER9xtqwdhxkhw/edit?usp=sharing"",""ชลบุรี!I423"")"),0.0)</f>
        <v>0</v>
      </c>
      <c r="J528" s="232">
        <f>IFERROR(__xludf.DUMMYFUNCTION("IMPORTRANGE(""https://docs.google.com/spreadsheets/d/1SX6NBoVAgQJ6U1MVXOaj8PK2l7WJ3RER9xtqwdhxkhw/edit?usp=sharing"",""ชลบุรี!J423"")"),0.0)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IFERROR(__xludf.DUMMYFUNCTION("IMPORTRANGE(""https://docs.google.com/spreadsheets/d/1SX6NBoVAgQJ6U1MVXOaj8PK2l7WJ3RER9xtqwdhxkhw/edit?usp=sharing"",""ชลบุรี!I424"")"),0.0)</f>
        <v>0</v>
      </c>
      <c r="J529" s="232">
        <f>IFERROR(__xludf.DUMMYFUNCTION("IMPORTRANGE(""https://docs.google.com/spreadsheets/d/1SX6NBoVAgQJ6U1MVXOaj8PK2l7WJ3RER9xtqwdhxkhw/edit?usp=sharing"",""ชลบุรี!J424"")"),0.0)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IFERROR(__xludf.DUMMYFUNCTION("IMPORTRANGE(""https://docs.google.com/spreadsheets/d/1SX6NBoVAgQJ6U1MVXOaj8PK2l7WJ3RER9xtqwdhxkhw/edit?usp=sharing"",""ชลบุรี!I425"")"),0.0)</f>
        <v>0</v>
      </c>
      <c r="J530" s="232">
        <f>IFERROR(__xludf.DUMMYFUNCTION("IMPORTRANGE(""https://docs.google.com/spreadsheets/d/1SX6NBoVAgQJ6U1MVXOaj8PK2l7WJ3RER9xtqwdhxkhw/edit?usp=sharing"",""ชลบุรี!J425"")"),0.0)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IFERROR(__xludf.DUMMYFUNCTION("IMPORTRANGE(""https://docs.google.com/spreadsheets/d/1SX6NBoVAgQJ6U1MVXOaj8PK2l7WJ3RER9xtqwdhxkhw/edit?usp=sharing"",""ชลบุรี!I426"")"),0.0)</f>
        <v>0</v>
      </c>
      <c r="J531" s="232">
        <f>IFERROR(__xludf.DUMMYFUNCTION("IMPORTRANGE(""https://docs.google.com/spreadsheets/d/1SX6NBoVAgQJ6U1MVXOaj8PK2l7WJ3RER9xtqwdhxkhw/edit?usp=sharing"",""ชลบุรี!J426"")"),0.0)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IFERROR(__xludf.DUMMYFUNCTION("IMPORTRANGE(""https://docs.google.com/spreadsheets/d/1SX6NBoVAgQJ6U1MVXOaj8PK2l7WJ3RER9xtqwdhxkhw/edit?usp=sharing"",""ชลบุรี!I427"")"),0.0)</f>
        <v>0</v>
      </c>
      <c r="J532" s="499">
        <f>IFERROR(__xludf.DUMMYFUNCTION("IMPORTRANGE(""https://docs.google.com/spreadsheets/d/1SX6NBoVAgQJ6U1MVXOaj8PK2l7WJ3RER9xtqwdhxkhw/edit?usp=sharing"",""ชลบุรี!J427"")"),0.0)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IFERROR(__xludf.DUMMYFUNCTION("IMPORTRANGE(""https://docs.google.com/spreadsheets/d/1SX6NBoVAgQJ6U1MVXOaj8PK2l7WJ3RER9xtqwdhxkhw/edit?usp=sharing"",""ชลบุรี!I428"")"),20.0)</f>
        <v>20</v>
      </c>
      <c r="J533" s="443">
        <f>IFERROR(__xludf.DUMMYFUNCTION("IMPORTRANGE(""https://docs.google.com/spreadsheets/d/1SX6NBoVAgQJ6U1MVXOaj8PK2l7WJ3RER9xtqwdhxkhw/edit?usp=sharing"",""ชลบุรี!J428"")"),0.0)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IFERROR(__xludf.DUMMYFUNCTION("IMPORTRANGE(""https://docs.google.com/spreadsheets/d/1SX6NBoVAgQJ6U1MVXOaj8PK2l7WJ3RER9xtqwdhxkhw/edit?usp=sharing"",""ชลบุรี!L428"")"),32640.0)</f>
        <v>32640</v>
      </c>
      <c r="M533" s="445"/>
      <c r="N533" s="445">
        <f>IFERROR(__xludf.DUMMYFUNCTION("IMPORTRANGE(""https://docs.google.com/spreadsheets/d/1SX6NBoVAgQJ6U1MVXOaj8PK2l7WJ3RER9xtqwdhxkhw/edit?usp=sharing"",""ชลบุรี!M428"")"),300.0)</f>
        <v>300</v>
      </c>
      <c r="O533" s="445">
        <f t="shared" ref="O533:O537" si="119">+IF(L533&gt;0,N533*100/L533,0)</f>
        <v>0.9191176471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IFERROR(__xludf.DUMMYFUNCTION("IMPORTRANGE(""https://docs.google.com/spreadsheets/d/1SX6NBoVAgQJ6U1MVXOaj8PK2l7WJ3RER9xtqwdhxkhw/edit?usp=sharing"",""ชลบุรี!L429"")"),0.0)</f>
        <v>0</v>
      </c>
      <c r="M534" s="197"/>
      <c r="N534" s="203">
        <f>IFERROR(__xludf.DUMMYFUNCTION("IMPORTRANGE(""https://docs.google.com/spreadsheets/d/1SX6NBoVAgQJ6U1MVXOaj8PK2l7WJ3RER9xtqwdhxkhw/edit?usp=sharing"",""ชลบุรี!M429"")"),0.0)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IFERROR(__xludf.DUMMYFUNCTION("IMPORTRANGE(""https://docs.google.com/spreadsheets/d/1SX6NBoVAgQJ6U1MVXOaj8PK2l7WJ3RER9xtqwdhxkhw/edit?usp=sharing"",""ชลบุรี!L430"")"),32640.0)</f>
        <v>32640</v>
      </c>
      <c r="M535" s="198"/>
      <c r="N535" s="203">
        <f>IFERROR(__xludf.DUMMYFUNCTION("IMPORTRANGE(""https://docs.google.com/spreadsheets/d/1SX6NBoVAgQJ6U1MVXOaj8PK2l7WJ3RER9xtqwdhxkhw/edit?usp=sharing"",""ชลบุรี!M430"")"),300.0)</f>
        <v>300</v>
      </c>
      <c r="O535" s="203">
        <f t="shared" si="119"/>
        <v>0.9191176471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IFERROR(__xludf.DUMMYFUNCTION("IMPORTRANGE(""https://docs.google.com/spreadsheets/d/1SX6NBoVAgQJ6U1MVXOaj8PK2l7WJ3RER9xtqwdhxkhw/edit?usp=sharing"",""ชลบุรี!L431"")"),0.0)</f>
        <v>0</v>
      </c>
      <c r="M536" s="203"/>
      <c r="N536" s="203">
        <f>IFERROR(__xludf.DUMMYFUNCTION("IMPORTRANGE(""https://docs.google.com/spreadsheets/d/1SX6NBoVAgQJ6U1MVXOaj8PK2l7WJ3RER9xtqwdhxkhw/edit?usp=sharing"",""ชลบุรี!M431"")"),0.0)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IFERROR(__xludf.DUMMYFUNCTION("IMPORTRANGE(""https://docs.google.com/spreadsheets/d/1SX6NBoVAgQJ6U1MVXOaj8PK2l7WJ3RER9xtqwdhxkhw/edit?usp=sharing"",""ชลบุรี!L432"")"),32640.0)</f>
        <v>32640</v>
      </c>
      <c r="M537" s="203"/>
      <c r="N537" s="203">
        <f>IFERROR(__xludf.DUMMYFUNCTION("IMPORTRANGE(""https://docs.google.com/spreadsheets/d/1SX6NBoVAgQJ6U1MVXOaj8PK2l7WJ3RER9xtqwdhxkhw/edit?usp=sharing"",""ชลบุรี!M432"")"),300.0)</f>
        <v>300</v>
      </c>
      <c r="O537" s="203">
        <f t="shared" si="119"/>
        <v>0.9191176471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IFERROR(__xludf.DUMMYFUNCTION("IMPORTRANGE(""https://docs.google.com/spreadsheets/d/1SX6NBoVAgQJ6U1MVXOaj8PK2l7WJ3RER9xtqwdhxkhw/edit?usp=sharing"",""ชลบุรี!M433"")"),0.0)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IFERROR(__xludf.DUMMYFUNCTION("IMPORTRANGE(""https://docs.google.com/spreadsheets/d/1SX6NBoVAgQJ6U1MVXOaj8PK2l7WJ3RER9xtqwdhxkhw/edit?usp=sharing"",""ชลบุรี!M434"")"),0.0)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IFERROR(__xludf.DUMMYFUNCTION("IMPORTRANGE(""https://docs.google.com/spreadsheets/d/1SX6NBoVAgQJ6U1MVXOaj8PK2l7WJ3RER9xtqwdhxkhw/edit?usp=sharing"",""ชลบุรี!M435"")"),0.0)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IFERROR(__xludf.DUMMYFUNCTION("IMPORTRANGE(""https://docs.google.com/spreadsheets/d/1SX6NBoVAgQJ6U1MVXOaj8PK2l7WJ3RER9xtqwdhxkhw/edit?usp=sharing"",""ชลบุรี!M436"")"),300.0)</f>
        <v>300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IFERROR(__xludf.DUMMYFUNCTION("IMPORTRANGE(""https://docs.google.com/spreadsheets/d/1SX6NBoVAgQJ6U1MVXOaj8PK2l7WJ3RER9xtqwdhxkhw/edit?usp=sharing"",""ชลบุรี!J438"")"),0.0)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IFERROR(__xludf.DUMMYFUNCTION("IMPORTRANGE(""https://docs.google.com/spreadsheets/d/1SX6NBoVAgQJ6U1MVXOaj8PK2l7WJ3RER9xtqwdhxkhw/edit?usp=sharing"",""ชลบุรี!J439"")"),1.0)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IFERROR(__xludf.DUMMYFUNCTION("IMPORTRANGE(""https://docs.google.com/spreadsheets/d/1SX6NBoVAgQJ6U1MVXOaj8PK2l7WJ3RER9xtqwdhxkhw/edit?usp=sharing"",""ชลบุรี!J440"")"),1.0)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IFERROR(__xludf.DUMMYFUNCTION("IMPORTRANGE(""https://docs.google.com/spreadsheets/d/1SX6NBoVAgQJ6U1MVXOaj8PK2l7WJ3RER9xtqwdhxkhw/edit?usp=sharing"",""ชลบุรี!J441"")"),1.0)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IFERROR(__xludf.DUMMYFUNCTION("IMPORTRANGE(""https://docs.google.com/spreadsheets/d/1SX6NBoVAgQJ6U1MVXOaj8PK2l7WJ3RER9xtqwdhxkhw/edit?usp=sharing"",""ชลบุรี!I442"")"),20.0)</f>
        <v>20</v>
      </c>
      <c r="J547" s="223">
        <f>IFERROR(__xludf.DUMMYFUNCTION("IMPORTRANGE(""https://docs.google.com/spreadsheets/d/1SX6NBoVAgQJ6U1MVXOaj8PK2l7WJ3RER9xtqwdhxkhw/edit?usp=sharing"",""ชลบุรี!J442"")"),0.0)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IFERROR(__xludf.DUMMYFUNCTION("IMPORTRANGE(""https://docs.google.com/spreadsheets/d/1SX6NBoVAgQJ6U1MVXOaj8PK2l7WJ3RER9xtqwdhxkhw/edit?usp=sharing"",""ชลบุรี!J166"")"),0.0)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IFERROR(__xludf.DUMMYFUNCTION("IMPORTRANGE(""https://docs.google.com/spreadsheets/d/1SX6NBoVAgQJ6U1MVXOaj8PK2l7WJ3RER9xtqwdhxkhw/edit?usp=sharing"",""ชลบุรี!J444"")"),0.0)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IFERROR(__xludf.DUMMYFUNCTION("IMPORTRANGE(""https://docs.google.com/spreadsheets/d/1SX6NBoVAgQJ6U1MVXOaj8PK2l7WJ3RER9xtqwdhxkhw/edit?usp=sharing"",""ชลบุรี!J445"")"),0.0)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IFERROR(__xludf.DUMMYFUNCTION("IMPORTRANGE(""https://docs.google.com/spreadsheets/d/1SX6NBoVAgQJ6U1MVXOaj8PK2l7WJ3RER9xtqwdhxkhw/edit?usp=sharing"",""ชลบุรี!I446"")"),0.0)</f>
        <v>0</v>
      </c>
      <c r="J551" s="443">
        <f>IFERROR(__xludf.DUMMYFUNCTION("IMPORTRANGE(""https://docs.google.com/spreadsheets/d/1SX6NBoVAgQJ6U1MVXOaj8PK2l7WJ3RER9xtqwdhxkhw/edit?usp=sharing"",""ชลบุรี!J446"")"),0.0)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IFERROR(__xludf.DUMMYFUNCTION("IMPORTRANGE(""https://docs.google.com/spreadsheets/d/1SX6NBoVAgQJ6U1MVXOaj8PK2l7WJ3RER9xtqwdhxkhw/edit?usp=sharing"",""ชลบุรี!L446"")"),0.0)</f>
        <v>0</v>
      </c>
      <c r="M551" s="445"/>
      <c r="N551" s="445">
        <f>IFERROR(__xludf.DUMMYFUNCTION("IMPORTRANGE(""https://docs.google.com/spreadsheets/d/1SX6NBoVAgQJ6U1MVXOaj8PK2l7WJ3RER9xtqwdhxkhw/edit?usp=sharing"",""ชลบุรี!M446"")"),0.0)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IFERROR(__xludf.DUMMYFUNCTION("IMPORTRANGE(""https://docs.google.com/spreadsheets/d/1SX6NBoVAgQJ6U1MVXOaj8PK2l7WJ3RER9xtqwdhxkhw/edit?usp=sharing"",""ชลบุรี!L447"")"),0.0)</f>
        <v>0</v>
      </c>
      <c r="M552" s="197"/>
      <c r="N552" s="203">
        <f>IFERROR(__xludf.DUMMYFUNCTION("IMPORTRANGE(""https://docs.google.com/spreadsheets/d/1SX6NBoVAgQJ6U1MVXOaj8PK2l7WJ3RER9xtqwdhxkhw/edit?usp=sharing"",""ชลบุรี!M447"")"),0.0)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IFERROR(__xludf.DUMMYFUNCTION("IMPORTRANGE(""https://docs.google.com/spreadsheets/d/1SX6NBoVAgQJ6U1MVXOaj8PK2l7WJ3RER9xtqwdhxkhw/edit?usp=sharing"",""ชลบุรี!L448"")"),0.0)</f>
        <v>0</v>
      </c>
      <c r="M553" s="198"/>
      <c r="N553" s="203">
        <f>IFERROR(__xludf.DUMMYFUNCTION("IMPORTRANGE(""https://docs.google.com/spreadsheets/d/1SX6NBoVAgQJ6U1MVXOaj8PK2l7WJ3RER9xtqwdhxkhw/edit?usp=sharing"",""ชลบุรี!M448"")"),0.0)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IFERROR(__xludf.DUMMYFUNCTION("IMPORTRANGE(""https://docs.google.com/spreadsheets/d/1SX6NBoVAgQJ6U1MVXOaj8PK2l7WJ3RER9xtqwdhxkhw/edit?usp=sharing"",""ชลบุรี!L449"")"),0.0)</f>
        <v>0</v>
      </c>
      <c r="M554" s="203"/>
      <c r="N554" s="203">
        <f>IFERROR(__xludf.DUMMYFUNCTION("IMPORTRANGE(""https://docs.google.com/spreadsheets/d/1SX6NBoVAgQJ6U1MVXOaj8PK2l7WJ3RER9xtqwdhxkhw/edit?usp=sharing"",""ชลบุรี!M449"")"),0.0)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IFERROR(__xludf.DUMMYFUNCTION("IMPORTRANGE(""https://docs.google.com/spreadsheets/d/1SX6NBoVAgQJ6U1MVXOaj8PK2l7WJ3RER9xtqwdhxkhw/edit?usp=sharing"",""ชลบุรี!L450"")"),0.0)</f>
        <v>0</v>
      </c>
      <c r="M555" s="203"/>
      <c r="N555" s="203">
        <f>IFERROR(__xludf.DUMMYFUNCTION("IMPORTRANGE(""https://docs.google.com/spreadsheets/d/1SX6NBoVAgQJ6U1MVXOaj8PK2l7WJ3RER9xtqwdhxkhw/edit?usp=sharing"",""ชลบุรี!M450"")"),0.0)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IFERROR(__xludf.DUMMYFUNCTION("IMPORTRANGE(""https://docs.google.com/spreadsheets/d/1SX6NBoVAgQJ6U1MVXOaj8PK2l7WJ3RER9xtqwdhxkhw/edit?usp=sharing"",""ชลบุรี!M451"")"),0.0)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IFERROR(__xludf.DUMMYFUNCTION("IMPORTRANGE(""https://docs.google.com/spreadsheets/d/1SX6NBoVAgQJ6U1MVXOaj8PK2l7WJ3RER9xtqwdhxkhw/edit?usp=sharing"",""ชลบุรี!M452"")"),0.0)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IFERROR(__xludf.DUMMYFUNCTION("IMPORTRANGE(""https://docs.google.com/spreadsheets/d/1SX6NBoVAgQJ6U1MVXOaj8PK2l7WJ3RER9xtqwdhxkhw/edit?usp=sharing"",""ชลบุรี!M453"")"),0.0)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IFERROR(__xludf.DUMMYFUNCTION("IMPORTRANGE(""https://docs.google.com/spreadsheets/d/1SX6NBoVAgQJ6U1MVXOaj8PK2l7WJ3RER9xtqwdhxkhw/edit?usp=sharing"",""ชลบุรี!M454"")"),0.0)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IFERROR(__xludf.DUMMYFUNCTION("IMPORTRANGE(""https://docs.google.com/spreadsheets/d/1SX6NBoVAgQJ6U1MVXOaj8PK2l7WJ3RER9xtqwdhxkhw/edit?usp=sharing"",""ชลบุรี!I455"")"),0.0)</f>
        <v>0</v>
      </c>
      <c r="J560" s="195">
        <f>IFERROR(__xludf.DUMMYFUNCTION("IMPORTRANGE(""https://docs.google.com/spreadsheets/d/1SX6NBoVAgQJ6U1MVXOaj8PK2l7WJ3RER9xtqwdhxkhw/edit?usp=sharing"",""ชลบุรี!J455"")"),0.0)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IFERROR(__xludf.DUMMYFUNCTION("IMPORTRANGE(""https://docs.google.com/spreadsheets/d/1SX6NBoVAgQJ6U1MVXOaj8PK2l7WJ3RER9xtqwdhxkhw/edit?usp=sharing"",""ชลบุรี!I456"")"),0.0)</f>
        <v>0</v>
      </c>
      <c r="J561" s="238">
        <f>IFERROR(__xludf.DUMMYFUNCTION("IMPORTRANGE(""https://docs.google.com/spreadsheets/d/1SX6NBoVAgQJ6U1MVXOaj8PK2l7WJ3RER9xtqwdhxkhw/edit?usp=sharing"",""ชลบุรี!J456"")"),0.0)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IFERROR(__xludf.DUMMYFUNCTION("IMPORTRANGE(""https://docs.google.com/spreadsheets/d/1SX6NBoVAgQJ6U1MVXOaj8PK2l7WJ3RER9xtqwdhxkhw/edit?usp=sharing"",""ชลบุรี!I457"")"),"")</f>
        <v/>
      </c>
      <c r="J562" s="238" t="str">
        <f>IFERROR(__xludf.DUMMYFUNCTION("IMPORTRANGE(""https://docs.google.com/spreadsheets/d/1SX6NBoVAgQJ6U1MVXOaj8PK2l7WJ3RER9xtqwdhxkhw/edit?usp=sharing"",""ชลบุรี!J457"")"),"")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IFERROR(__xludf.DUMMYFUNCTION("IMPORTRANGE(""https://docs.google.com/spreadsheets/d/1SX6NBoVAgQJ6U1MVXOaj8PK2l7WJ3RER9xtqwdhxkhw/edit?usp=sharing"",""ชลบุรี!I458"")"),"")</f>
        <v/>
      </c>
      <c r="J563" s="222" t="str">
        <f>IFERROR(__xludf.DUMMYFUNCTION("IMPORTRANGE(""https://docs.google.com/spreadsheets/d/1SX6NBoVAgQJ6U1MVXOaj8PK2l7WJ3RER9xtqwdhxkhw/edit?usp=sharing"",""ชลบุรี!J458"")"),"")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IFERROR(__xludf.DUMMYFUNCTION("IMPORTRANGE(""https://docs.google.com/spreadsheets/d/1SX6NBoVAgQJ6U1MVXOaj8PK2l7WJ3RER9xtqwdhxkhw/edit?usp=sharing"",""ชลบุรี!I459"")"),900.0)</f>
        <v>900</v>
      </c>
      <c r="J564" s="404">
        <f>IFERROR(__xludf.DUMMYFUNCTION("IMPORTRANGE(""https://docs.google.com/spreadsheets/d/1SX6NBoVAgQJ6U1MVXOaj8PK2l7WJ3RER9xtqwdhxkhw/edit?usp=sharing"",""ชลบุรี!J459"")"),0.0)</f>
        <v>0</v>
      </c>
      <c r="K564" s="405">
        <f t="shared" si="122"/>
        <v>0</v>
      </c>
      <c r="L564" s="406">
        <f>IFERROR(__xludf.DUMMYFUNCTION("IMPORTRANGE(""https://docs.google.com/spreadsheets/d/1SX6NBoVAgQJ6U1MVXOaj8PK2l7WJ3RER9xtqwdhxkhw/edit?usp=sharing"",""ชลบุรี!L459"")"),121120.0)</f>
        <v>121120</v>
      </c>
      <c r="M564" s="406"/>
      <c r="N564" s="406">
        <f>IFERROR(__xludf.DUMMYFUNCTION("IMPORTRANGE(""https://docs.google.com/spreadsheets/d/1SX6NBoVAgQJ6U1MVXOaj8PK2l7WJ3RER9xtqwdhxkhw/edit?usp=sharing"",""ชลบุรี!M459"")"),0.0)</f>
        <v>0</v>
      </c>
      <c r="O564" s="406">
        <f t="shared" ref="O564:O568" si="123">+IF(L564&gt;0,N564*100/L564,0)</f>
        <v>0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IFERROR(__xludf.DUMMYFUNCTION("IMPORTRANGE(""https://docs.google.com/spreadsheets/d/1SX6NBoVAgQJ6U1MVXOaj8PK2l7WJ3RER9xtqwdhxkhw/edit?usp=sharing"",""ชลบุรี!L460"")"),0.0)</f>
        <v>0</v>
      </c>
      <c r="M565" s="197"/>
      <c r="N565" s="203">
        <f>IFERROR(__xludf.DUMMYFUNCTION("IMPORTRANGE(""https://docs.google.com/spreadsheets/d/1SX6NBoVAgQJ6U1MVXOaj8PK2l7WJ3RER9xtqwdhxkhw/edit?usp=sharing"",""ชลบุรี!M460"")"),0.0)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IFERROR(__xludf.DUMMYFUNCTION("IMPORTRANGE(""https://docs.google.com/spreadsheets/d/1SX6NBoVAgQJ6U1MVXOaj8PK2l7WJ3RER9xtqwdhxkhw/edit?usp=sharing"",""ชลบุรี!L461"")"),121120.0)</f>
        <v>121120</v>
      </c>
      <c r="M566" s="198"/>
      <c r="N566" s="203">
        <f>IFERROR(__xludf.DUMMYFUNCTION("IMPORTRANGE(""https://docs.google.com/spreadsheets/d/1SX6NBoVAgQJ6U1MVXOaj8PK2l7WJ3RER9xtqwdhxkhw/edit?usp=sharing"",""ชลบุรี!M461"")"),0.0)</f>
        <v>0</v>
      </c>
      <c r="O566" s="203">
        <f t="shared" si="123"/>
        <v>0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IFERROR(__xludf.DUMMYFUNCTION("IMPORTRANGE(""https://docs.google.com/spreadsheets/d/1SX6NBoVAgQJ6U1MVXOaj8PK2l7WJ3RER9xtqwdhxkhw/edit?usp=sharing"",""ชลบุรี!L462"")"),0.0)</f>
        <v>0</v>
      </c>
      <c r="M567" s="203"/>
      <c r="N567" s="203">
        <f>IFERROR(__xludf.DUMMYFUNCTION("IMPORTRANGE(""https://docs.google.com/spreadsheets/d/1SX6NBoVAgQJ6U1MVXOaj8PK2l7WJ3RER9xtqwdhxkhw/edit?usp=sharing"",""ชลบุรี!M462"")"),0.0)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IFERROR(__xludf.DUMMYFUNCTION("IMPORTRANGE(""https://docs.google.com/spreadsheets/d/1SX6NBoVAgQJ6U1MVXOaj8PK2l7WJ3RER9xtqwdhxkhw/edit?usp=sharing"",""ชลบุรี!L463"")"),121120.0)</f>
        <v>121120</v>
      </c>
      <c r="M568" s="203"/>
      <c r="N568" s="203">
        <f>IFERROR(__xludf.DUMMYFUNCTION("IMPORTRANGE(""https://docs.google.com/spreadsheets/d/1SX6NBoVAgQJ6U1MVXOaj8PK2l7WJ3RER9xtqwdhxkhw/edit?usp=sharing"",""ชลบุรี!M463"")"),0.0)</f>
        <v>0</v>
      </c>
      <c r="O568" s="203">
        <f t="shared" si="123"/>
        <v>0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IFERROR(__xludf.DUMMYFUNCTION("IMPORTRANGE(""https://docs.google.com/spreadsheets/d/1SX6NBoVAgQJ6U1MVXOaj8PK2l7WJ3RER9xtqwdhxkhw/edit?usp=sharing"",""ชลบุรี!M464"")"),0.0)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IFERROR(__xludf.DUMMYFUNCTION("IMPORTRANGE(""https://docs.google.com/spreadsheets/d/1SX6NBoVAgQJ6U1MVXOaj8PK2l7WJ3RER9xtqwdhxkhw/edit?usp=sharing"",""ชลบุรี!M465"")"),0.0)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IFERROR(__xludf.DUMMYFUNCTION("IMPORTRANGE(""https://docs.google.com/spreadsheets/d/1SX6NBoVAgQJ6U1MVXOaj8PK2l7WJ3RER9xtqwdhxkhw/edit?usp=sharing"",""ชลบุรี!M466"")"),0.0)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IFERROR(__xludf.DUMMYFUNCTION("IMPORTRANGE(""https://docs.google.com/spreadsheets/d/1SX6NBoVAgQJ6U1MVXOaj8PK2l7WJ3RER9xtqwdhxkhw/edit?usp=sharing"",""ชลบุรี!M467"")"),0.0)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IFERROR(__xludf.DUMMYFUNCTION("IMPORTRANGE(""https://docs.google.com/spreadsheets/d/1SX6NBoVAgQJ6U1MVXOaj8PK2l7WJ3RER9xtqwdhxkhw/edit?usp=sharing"",""ชลบุรี!I468"")"),900.0)</f>
        <v>900</v>
      </c>
      <c r="J573" s="453">
        <f>IFERROR(__xludf.DUMMYFUNCTION("IMPORTRANGE(""https://docs.google.com/spreadsheets/d/1SX6NBoVAgQJ6U1MVXOaj8PK2l7WJ3RER9xtqwdhxkhw/edit?usp=sharing"",""ชลบุรี!J468"")"),0.0)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IFERROR(__xludf.DUMMYFUNCTION("IMPORTRANGE(""https://docs.google.com/spreadsheets/d/1SX6NBoVAgQJ6U1MVXOaj8PK2l7WJ3RER9xtqwdhxkhw/edit?usp=sharing"",""ชลบุรี!I470"")"),0.0)</f>
        <v>0</v>
      </c>
      <c r="J575" s="232">
        <f>IFERROR(__xludf.DUMMYFUNCTION("IMPORTRANGE(""https://docs.google.com/spreadsheets/d/1SX6NBoVAgQJ6U1MVXOaj8PK2l7WJ3RER9xtqwdhxkhw/edit?usp=sharing"",""ชลบุรี!J470"")"),0.0)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IFERROR(__xludf.DUMMYFUNCTION("IMPORTRANGE(""https://docs.google.com/spreadsheets/d/1SX6NBoVAgQJ6U1MVXOaj8PK2l7WJ3RER9xtqwdhxkhw/edit?usp=sharing"",""ชลบุรี!I471"")"),0.0)</f>
        <v>0</v>
      </c>
      <c r="J576" s="232">
        <f>IFERROR(__xludf.DUMMYFUNCTION("IMPORTRANGE(""https://docs.google.com/spreadsheets/d/1SX6NBoVAgQJ6U1MVXOaj8PK2l7WJ3RER9xtqwdhxkhw/edit?usp=sharing"",""ชลบุรี!J471"")"),0.0)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IFERROR(__xludf.DUMMYFUNCTION("IMPORTRANGE(""https://docs.google.com/spreadsheets/d/1SX6NBoVAgQJ6U1MVXOaj8PK2l7WJ3RER9xtqwdhxkhw/edit?usp=sharing"",""ชลบุรี!I472"")"),0.0)</f>
        <v>0</v>
      </c>
      <c r="J577" s="223">
        <f>IFERROR(__xludf.DUMMYFUNCTION("IMPORTRANGE(""https://docs.google.com/spreadsheets/d/1SX6NBoVAgQJ6U1MVXOaj8PK2l7WJ3RER9xtqwdhxkhw/edit?usp=sharing"",""ชลบุรี!J472"")"),0.0)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IFERROR(__xludf.DUMMYFUNCTION("IMPORTRANGE(""https://docs.google.com/spreadsheets/d/1SX6NBoVAgQJ6U1MVXOaj8PK2l7WJ3RER9xtqwdhxkhw/edit?usp=sharing"",""ชลบุรี!I473"")"),0.0)</f>
        <v>0</v>
      </c>
      <c r="J578" s="232">
        <f>IFERROR(__xludf.DUMMYFUNCTION("IMPORTRANGE(""https://docs.google.com/spreadsheets/d/1SX6NBoVAgQJ6U1MVXOaj8PK2l7WJ3RER9xtqwdhxkhw/edit?usp=sharing"",""ชลบุรี!J473"")"),0.0)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IFERROR(__xludf.DUMMYFUNCTION("IMPORTRANGE(""https://docs.google.com/spreadsheets/d/1SX6NBoVAgQJ6U1MVXOaj8PK2l7WJ3RER9xtqwdhxkhw/edit?usp=sharing"",""ชลบุรี!I474"")"),0.0)</f>
        <v>0</v>
      </c>
      <c r="J579" s="232">
        <f>IFERROR(__xludf.DUMMYFUNCTION("IMPORTRANGE(""https://docs.google.com/spreadsheets/d/1SX6NBoVAgQJ6U1MVXOaj8PK2l7WJ3RER9xtqwdhxkhw/edit?usp=sharing"",""ชลบุรี!J474"")"),0.0)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IFERROR(__xludf.DUMMYFUNCTION("IMPORTRANGE(""https://docs.google.com/spreadsheets/d/1SX6NBoVAgQJ6U1MVXOaj8PK2l7WJ3RER9xtqwdhxkhw/edit?usp=sharing"",""ชลบุรี!I475"")"),0.0)</f>
        <v>0</v>
      </c>
      <c r="J580" s="404">
        <f>IFERROR(__xludf.DUMMYFUNCTION("IMPORTRANGE(""https://docs.google.com/spreadsheets/d/1SX6NBoVAgQJ6U1MVXOaj8PK2l7WJ3RER9xtqwdhxkhw/edit?usp=sharing"",""ชลบุรี!J475"")"),0.0)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IFERROR(__xludf.DUMMYFUNCTION("IMPORTRANGE(""https://docs.google.com/spreadsheets/d/1SX6NBoVAgQJ6U1MVXOaj8PK2l7WJ3RER9xtqwdhxkhw/edit?usp=sharing"",""ชลบุรี!L475"")"),0.0)</f>
        <v>0</v>
      </c>
      <c r="M580" s="406"/>
      <c r="N580" s="406">
        <f>IFERROR(__xludf.DUMMYFUNCTION("IMPORTRANGE(""https://docs.google.com/spreadsheets/d/1SX6NBoVAgQJ6U1MVXOaj8PK2l7WJ3RER9xtqwdhxkhw/edit?usp=sharing"",""ชลบุรี!M475"")"),0.0)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IFERROR(__xludf.DUMMYFUNCTION("IMPORTRANGE(""https://docs.google.com/spreadsheets/d/1SX6NBoVAgQJ6U1MVXOaj8PK2l7WJ3RER9xtqwdhxkhw/edit?usp=sharing"",""ชลบุรี!L476"")"),0.0)</f>
        <v>0</v>
      </c>
      <c r="M581" s="197"/>
      <c r="N581" s="203">
        <f>IFERROR(__xludf.DUMMYFUNCTION("IMPORTRANGE(""https://docs.google.com/spreadsheets/d/1SX6NBoVAgQJ6U1MVXOaj8PK2l7WJ3RER9xtqwdhxkhw/edit?usp=sharing"",""ชลบุรี!M476"")"),0.0)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IFERROR(__xludf.DUMMYFUNCTION("IMPORTRANGE(""https://docs.google.com/spreadsheets/d/1SX6NBoVAgQJ6U1MVXOaj8PK2l7WJ3RER9xtqwdhxkhw/edit?usp=sharing"",""ชลบุรี!L477"")"),0.0)</f>
        <v>0</v>
      </c>
      <c r="M582" s="198"/>
      <c r="N582" s="203">
        <f>IFERROR(__xludf.DUMMYFUNCTION("IMPORTRANGE(""https://docs.google.com/spreadsheets/d/1SX6NBoVAgQJ6U1MVXOaj8PK2l7WJ3RER9xtqwdhxkhw/edit?usp=sharing"",""ชลบุรี!M477"")"),0.0)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IFERROR(__xludf.DUMMYFUNCTION("IMPORTRANGE(""https://docs.google.com/spreadsheets/d/1SX6NBoVAgQJ6U1MVXOaj8PK2l7WJ3RER9xtqwdhxkhw/edit?usp=sharing"",""ชลบุรี!L478"")"),0.0)</f>
        <v>0</v>
      </c>
      <c r="M583" s="203"/>
      <c r="N583" s="203">
        <f>IFERROR(__xludf.DUMMYFUNCTION("IMPORTRANGE(""https://docs.google.com/spreadsheets/d/1SX6NBoVAgQJ6U1MVXOaj8PK2l7WJ3RER9xtqwdhxkhw/edit?usp=sharing"",""ชลบุรี!M478"")"),0.0)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IFERROR(__xludf.DUMMYFUNCTION("IMPORTRANGE(""https://docs.google.com/spreadsheets/d/1SX6NBoVAgQJ6U1MVXOaj8PK2l7WJ3RER9xtqwdhxkhw/edit?usp=sharing"",""ชลบุรี!L479"")"),0.0)</f>
        <v>0</v>
      </c>
      <c r="M584" s="203"/>
      <c r="N584" s="203">
        <f>IFERROR(__xludf.DUMMYFUNCTION("IMPORTRANGE(""https://docs.google.com/spreadsheets/d/1SX6NBoVAgQJ6U1MVXOaj8PK2l7WJ3RER9xtqwdhxkhw/edit?usp=sharing"",""ชลบุรี!M479"")"),0.0)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IFERROR(__xludf.DUMMYFUNCTION("IMPORTRANGE(""https://docs.google.com/spreadsheets/d/1SX6NBoVAgQJ6U1MVXOaj8PK2l7WJ3RER9xtqwdhxkhw/edit?usp=sharing"",""ชลบุรี!M480"")"),0.0)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IFERROR(__xludf.DUMMYFUNCTION("IMPORTRANGE(""https://docs.google.com/spreadsheets/d/1SX6NBoVAgQJ6U1MVXOaj8PK2l7WJ3RER9xtqwdhxkhw/edit?usp=sharing"",""ชลบุรี!M481"")"),0.0)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IFERROR(__xludf.DUMMYFUNCTION("IMPORTRANGE(""https://docs.google.com/spreadsheets/d/1SX6NBoVAgQJ6U1MVXOaj8PK2l7WJ3RER9xtqwdhxkhw/edit?usp=sharing"",""ชลบุรี!M482"")"),0.0)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IFERROR(__xludf.DUMMYFUNCTION("IMPORTRANGE(""https://docs.google.com/spreadsheets/d/1SX6NBoVAgQJ6U1MVXOaj8PK2l7WJ3RER9xtqwdhxkhw/edit?usp=sharing"",""ชลบุรี!M483"")"),0.0)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IFERROR(__xludf.DUMMYFUNCTION("IMPORTRANGE(""https://docs.google.com/spreadsheets/d/1SX6NBoVAgQJ6U1MVXOaj8PK2l7WJ3RER9xtqwdhxkhw/edit?usp=sharing"",""ชลบุรี!I484"")"),0.0)</f>
        <v>0</v>
      </c>
      <c r="J589" s="222">
        <f>IFERROR(__xludf.DUMMYFUNCTION("IMPORTRANGE(""https://docs.google.com/spreadsheets/d/1SX6NBoVAgQJ6U1MVXOaj8PK2l7WJ3RER9xtqwdhxkhw/edit?usp=sharing"",""ชลบุรี!J484"")"),0.0)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IFERROR(__xludf.DUMMYFUNCTION("IMPORTRANGE(""https://docs.google.com/spreadsheets/d/1SX6NBoVAgQJ6U1MVXOaj8PK2l7WJ3RER9xtqwdhxkhw/edit?usp=sharing"",""ชลบุรี!I485"")"),0.0)</f>
        <v>0</v>
      </c>
      <c r="J590" s="222">
        <f>IFERROR(__xludf.DUMMYFUNCTION("IMPORTRANGE(""https://docs.google.com/spreadsheets/d/1SX6NBoVAgQJ6U1MVXOaj8PK2l7WJ3RER9xtqwdhxkhw/edit?usp=sharing"",""ชลบุรี!J485"")"),0.0)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IFERROR(__xludf.DUMMYFUNCTION("IMPORTRANGE(""https://docs.google.com/spreadsheets/d/1SX6NBoVAgQJ6U1MVXOaj8PK2l7WJ3RER9xtqwdhxkhw/edit?usp=sharing"",""ชลบุรี!I486"")"),0.0)</f>
        <v>0</v>
      </c>
      <c r="J591" s="222">
        <f>IFERROR(__xludf.DUMMYFUNCTION("IMPORTRANGE(""https://docs.google.com/spreadsheets/d/1SX6NBoVAgQJ6U1MVXOaj8PK2l7WJ3RER9xtqwdhxkhw/edit?usp=sharing"",""ชลบุรี!J486"")"),0.0)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IFERROR(__xludf.DUMMYFUNCTION("IMPORTRANGE(""https://docs.google.com/spreadsheets/d/1SX6NBoVAgQJ6U1MVXOaj8PK2l7WJ3RER9xtqwdhxkhw/edit?usp=sharing"",""ชลบุรี!I487"")"),0.0)</f>
        <v>0</v>
      </c>
      <c r="J592" s="222">
        <f>IFERROR(__xludf.DUMMYFUNCTION("IMPORTRANGE(""https://docs.google.com/spreadsheets/d/1SX6NBoVAgQJ6U1MVXOaj8PK2l7WJ3RER9xtqwdhxkhw/edit?usp=sharing"",""ชลบุรี!J487"")"),0.0)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IFERROR(__xludf.DUMMYFUNCTION("IMPORTRANGE(""https://docs.google.com/spreadsheets/d/1SX6NBoVAgQJ6U1MVXOaj8PK2l7WJ3RER9xtqwdhxkhw/edit?usp=sharing"",""ชลบุรี!I488"")"),0.0)</f>
        <v>0</v>
      </c>
      <c r="J593" s="222">
        <f>IFERROR(__xludf.DUMMYFUNCTION("IMPORTRANGE(""https://docs.google.com/spreadsheets/d/1SX6NBoVAgQJ6U1MVXOaj8PK2l7WJ3RER9xtqwdhxkhw/edit?usp=sharing"",""ชลบุรี!J488"")"),0.0)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IFERROR(__xludf.DUMMYFUNCTION("IMPORTRANGE(""https://docs.google.com/spreadsheets/d/1SX6NBoVAgQJ6U1MVXOaj8PK2l7WJ3RER9xtqwdhxkhw/edit?usp=sharing"",""ชลบุรี!I489"")"),0.0)</f>
        <v>0</v>
      </c>
      <c r="J594" s="222">
        <f>IFERROR(__xludf.DUMMYFUNCTION("IMPORTRANGE(""https://docs.google.com/spreadsheets/d/1SX6NBoVAgQJ6U1MVXOaj8PK2l7WJ3RER9xtqwdhxkhw/edit?usp=sharing"",""ชลบุรี!J489"")"),0.0)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IFERROR(__xludf.DUMMYFUNCTION("IMPORTRANGE(""https://docs.google.com/spreadsheets/d/1SX6NBoVAgQJ6U1MVXOaj8PK2l7WJ3RER9xtqwdhxkhw/edit?usp=sharing"",""ชลบุรี!I490"")"),0.0)</f>
        <v>0</v>
      </c>
      <c r="J595" s="222">
        <f>IFERROR(__xludf.DUMMYFUNCTION("IMPORTRANGE(""https://docs.google.com/spreadsheets/d/1SX6NBoVAgQJ6U1MVXOaj8PK2l7WJ3RER9xtqwdhxkhw/edit?usp=sharing"",""ชลบุรี!J490"")"),0.0)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IFERROR(__xludf.DUMMYFUNCTION("IMPORTRANGE(""https://docs.google.com/spreadsheets/d/1SX6NBoVAgQJ6U1MVXOaj8PK2l7WJ3RER9xtqwdhxkhw/edit?usp=sharing"",""ชลบุรี!I491"")"),0.0)</f>
        <v>0</v>
      </c>
      <c r="J596" s="275">
        <f>IFERROR(__xludf.DUMMYFUNCTION("IMPORTRANGE(""https://docs.google.com/spreadsheets/d/1SX6NBoVAgQJ6U1MVXOaj8PK2l7WJ3RER9xtqwdhxkhw/edit?usp=sharing"",""ชลบุรี!J491"")"),0.0)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IFERROR(__xludf.DUMMYFUNCTION("IMPORTRANGE(""https://docs.google.com/spreadsheets/d/1SX6NBoVAgQJ6U1MVXOaj8PK2l7WJ3RER9xtqwdhxkhw/edit?usp=sharing"",""ชลบุรี!I492"")"),50.0)</f>
        <v>50</v>
      </c>
      <c r="J597" s="520">
        <f>IFERROR(__xludf.DUMMYFUNCTION("IMPORTRANGE(""https://docs.google.com/spreadsheets/d/1SX6NBoVAgQJ6U1MVXOaj8PK2l7WJ3RER9xtqwdhxkhw/edit?usp=sharing"",""ชลบุรี!J492"")"),0.0)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IFERROR(__xludf.DUMMYFUNCTION("IMPORTRANGE(""https://docs.google.com/spreadsheets/d/1SX6NBoVAgQJ6U1MVXOaj8PK2l7WJ3RER9xtqwdhxkhw/edit?usp=sharing"",""ชลบุรี!L492"")"),4550.0)</f>
        <v>4550</v>
      </c>
      <c r="M597" s="445"/>
      <c r="N597" s="445">
        <f>IFERROR(__xludf.DUMMYFUNCTION("IMPORTRANGE(""https://docs.google.com/spreadsheets/d/1SX6NBoVAgQJ6U1MVXOaj8PK2l7WJ3RER9xtqwdhxkhw/edit?usp=sharing"",""ชลบุรี!M492"")"),300.0)</f>
        <v>300</v>
      </c>
      <c r="O597" s="445">
        <f t="shared" ref="O597:O601" si="127">+IF(L597&gt;0,N597*100/L597,0)</f>
        <v>6.593406593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IFERROR(__xludf.DUMMYFUNCTION("IMPORTRANGE(""https://docs.google.com/spreadsheets/d/1SX6NBoVAgQJ6U1MVXOaj8PK2l7WJ3RER9xtqwdhxkhw/edit?usp=sharing"",""ชลบุรี!L493"")"),0.0)</f>
        <v>0</v>
      </c>
      <c r="M598" s="197"/>
      <c r="N598" s="203">
        <f>IFERROR(__xludf.DUMMYFUNCTION("IMPORTRANGE(""https://docs.google.com/spreadsheets/d/1SX6NBoVAgQJ6U1MVXOaj8PK2l7WJ3RER9xtqwdhxkhw/edit?usp=sharing"",""ชลบุรี!M493"")"),0.0)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IFERROR(__xludf.DUMMYFUNCTION("IMPORTRANGE(""https://docs.google.com/spreadsheets/d/1SX6NBoVAgQJ6U1MVXOaj8PK2l7WJ3RER9xtqwdhxkhw/edit?usp=sharing"",""ชลบุรี!L494"")"),4550.0)</f>
        <v>4550</v>
      </c>
      <c r="M599" s="198"/>
      <c r="N599" s="203">
        <f>IFERROR(__xludf.DUMMYFUNCTION("IMPORTRANGE(""https://docs.google.com/spreadsheets/d/1SX6NBoVAgQJ6U1MVXOaj8PK2l7WJ3RER9xtqwdhxkhw/edit?usp=sharing"",""ชลบุรี!M494"")"),300.0)</f>
        <v>300</v>
      </c>
      <c r="O599" s="203">
        <f t="shared" si="127"/>
        <v>6.593406593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IFERROR(__xludf.DUMMYFUNCTION("IMPORTRANGE(""https://docs.google.com/spreadsheets/d/1SX6NBoVAgQJ6U1MVXOaj8PK2l7WJ3RER9xtqwdhxkhw/edit?usp=sharing"",""ชลบุรี!L495"")"),0.0)</f>
        <v>0</v>
      </c>
      <c r="M600" s="203"/>
      <c r="N600" s="203">
        <f>IFERROR(__xludf.DUMMYFUNCTION("IMPORTRANGE(""https://docs.google.com/spreadsheets/d/1SX6NBoVAgQJ6U1MVXOaj8PK2l7WJ3RER9xtqwdhxkhw/edit?usp=sharing"",""ชลบุรี!M495"")"),0.0)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IFERROR(__xludf.DUMMYFUNCTION("IMPORTRANGE(""https://docs.google.com/spreadsheets/d/1SX6NBoVAgQJ6U1MVXOaj8PK2l7WJ3RER9xtqwdhxkhw/edit?usp=sharing"",""ชลบุรี!L496"")"),4550.0)</f>
        <v>4550</v>
      </c>
      <c r="M601" s="203"/>
      <c r="N601" s="203">
        <f>IFERROR(__xludf.DUMMYFUNCTION("IMPORTRANGE(""https://docs.google.com/spreadsheets/d/1SX6NBoVAgQJ6U1MVXOaj8PK2l7WJ3RER9xtqwdhxkhw/edit?usp=sharing"",""ชลบุรี!M496"")"),300.0)</f>
        <v>300</v>
      </c>
      <c r="O601" s="203">
        <f t="shared" si="127"/>
        <v>6.593406593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IFERROR(__xludf.DUMMYFUNCTION("IMPORTRANGE(""https://docs.google.com/spreadsheets/d/1SX6NBoVAgQJ6U1MVXOaj8PK2l7WJ3RER9xtqwdhxkhw/edit?usp=sharing"",""ชลบุรี!M497"")"),0.0)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IFERROR(__xludf.DUMMYFUNCTION("IMPORTRANGE(""https://docs.google.com/spreadsheets/d/1SX6NBoVAgQJ6U1MVXOaj8PK2l7WJ3RER9xtqwdhxkhw/edit?usp=sharing"",""ชลบุรี!M498"")"),0.0)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IFERROR(__xludf.DUMMYFUNCTION("IMPORTRANGE(""https://docs.google.com/spreadsheets/d/1SX6NBoVAgQJ6U1MVXOaj8PK2l7WJ3RER9xtqwdhxkhw/edit?usp=sharing"",""ชลบุรี!M499"")"),0.0)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IFERROR(__xludf.DUMMYFUNCTION("IMPORTRANGE(""https://docs.google.com/spreadsheets/d/1SX6NBoVAgQJ6U1MVXOaj8PK2l7WJ3RER9xtqwdhxkhw/edit?usp=sharing"",""ชลบุรี!M500"")"),300.0)</f>
        <v>300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IFERROR(__xludf.DUMMYFUNCTION("IMPORTRANGE(""https://docs.google.com/spreadsheets/d/1SX6NBoVAgQJ6U1MVXOaj8PK2l7WJ3RER9xtqwdhxkhw/edit?usp=sharing"",""ชลบุรี!J502"")"),1.0)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IFERROR(__xludf.DUMMYFUNCTION("IMPORTRANGE(""https://docs.google.com/spreadsheets/d/1SX6NBoVAgQJ6U1MVXOaj8PK2l7WJ3RER9xtqwdhxkhw/edit?usp=sharing"",""ชลบุรี!J503"")"),0.0)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IFERROR(__xludf.DUMMYFUNCTION("IMPORTRANGE(""https://docs.google.com/spreadsheets/d/1SX6NBoVAgQJ6U1MVXOaj8PK2l7WJ3RER9xtqwdhxkhw/edit?usp=sharing"",""ชลบุรี!J166"")"),0.0)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IFERROR(__xludf.DUMMYFUNCTION("IMPORTRANGE(""https://docs.google.com/spreadsheets/d/1SX6NBoVAgQJ6U1MVXOaj8PK2l7WJ3RER9xtqwdhxkhw/edit?usp=sharing"",""ชลบุรี!J166"")"),0.0)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IFERROR(__xludf.DUMMYFUNCTION("IMPORTRANGE(""https://docs.google.com/spreadsheets/d/1SX6NBoVAgQJ6U1MVXOaj8PK2l7WJ3RER9xtqwdhxkhw/edit?usp=sharing"",""ชลบุรี!I506"")"),50.0)</f>
        <v>50</v>
      </c>
      <c r="J611" s="195">
        <f>IFERROR(__xludf.DUMMYFUNCTION("IMPORTRANGE(""https://docs.google.com/spreadsheets/d/1SX6NBoVAgQJ6U1MVXOaj8PK2l7WJ3RER9xtqwdhxkhw/edit?usp=sharing"",""ชลบุรี!J506"")"),0.0)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IFERROR(__xludf.DUMMYFUNCTION("IMPORTRANGE(""https://docs.google.com/spreadsheets/d/1SX6NBoVAgQJ6U1MVXOaj8PK2l7WJ3RER9xtqwdhxkhw/edit?usp=sharing"",""ชลบุรี!I507"")"),0.0)</f>
        <v>0</v>
      </c>
      <c r="J612" s="232">
        <f>IFERROR(__xludf.DUMMYFUNCTION("IMPORTRANGE(""https://docs.google.com/spreadsheets/d/1SX6NBoVAgQJ6U1MVXOaj8PK2l7WJ3RER9xtqwdhxkhw/edit?usp=sharing"",""ชลบุรี!J507"")"),0.0)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IFERROR(__xludf.DUMMYFUNCTION("IMPORTRANGE(""https://docs.google.com/spreadsheets/d/1SX6NBoVAgQJ6U1MVXOaj8PK2l7WJ3RER9xtqwdhxkhw/edit?usp=sharing"",""ชลบุรี!I508"")"),0.0)</f>
        <v>0</v>
      </c>
      <c r="J613" s="232">
        <f>IFERROR(__xludf.DUMMYFUNCTION("IMPORTRANGE(""https://docs.google.com/spreadsheets/d/1SX6NBoVAgQJ6U1MVXOaj8PK2l7WJ3RER9xtqwdhxkhw/edit?usp=sharing"",""ชลบุรี!J508"")"),0.0)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IFERROR(__xludf.DUMMYFUNCTION("IMPORTRANGE(""https://docs.google.com/spreadsheets/d/1SX6NBoVAgQJ6U1MVXOaj8PK2l7WJ3RER9xtqwdhxkhw/edit?usp=sharing"",""ชลบุรี!I509"")"),0.0)</f>
        <v>0</v>
      </c>
      <c r="J614" s="232">
        <f>IFERROR(__xludf.DUMMYFUNCTION("IMPORTRANGE(""https://docs.google.com/spreadsheets/d/1SX6NBoVAgQJ6U1MVXOaj8PK2l7WJ3RER9xtqwdhxkhw/edit?usp=sharing"",""ชลบุรี!J509"")"),0.0)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IFERROR(__xludf.DUMMYFUNCTION("IMPORTRANGE(""https://docs.google.com/spreadsheets/d/1SX6NBoVAgQJ6U1MVXOaj8PK2l7WJ3RER9xtqwdhxkhw/edit?usp=sharing"",""ชลบุรี!I510"")"),0.0)</f>
        <v>0</v>
      </c>
      <c r="J615" s="232">
        <f>IFERROR(__xludf.DUMMYFUNCTION("IMPORTRANGE(""https://docs.google.com/spreadsheets/d/1SX6NBoVAgQJ6U1MVXOaj8PK2l7WJ3RER9xtqwdhxkhw/edit?usp=sharing"",""ชลบุรี!J510"")"),0.0)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IFERROR(__xludf.DUMMYFUNCTION("IMPORTRANGE(""https://docs.google.com/spreadsheets/d/1SX6NBoVAgQJ6U1MVXOaj8PK2l7WJ3RER9xtqwdhxkhw/edit?usp=sharing"",""ชลบุรี!I511"")"),0.0)</f>
        <v>0</v>
      </c>
      <c r="J616" s="232">
        <f>IFERROR(__xludf.DUMMYFUNCTION("IMPORTRANGE(""https://docs.google.com/spreadsheets/d/1SX6NBoVAgQJ6U1MVXOaj8PK2l7WJ3RER9xtqwdhxkhw/edit?usp=sharing"",""ชลบุรี!J511"")"),0.0)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IFERROR(__xludf.DUMMYFUNCTION("IMPORTRANGE(""https://docs.google.com/spreadsheets/d/1SX6NBoVAgQJ6U1MVXOaj8PK2l7WJ3RER9xtqwdhxkhw/edit?usp=sharing"",""ชลบุรี!I512"")"),0.0)</f>
        <v>0</v>
      </c>
      <c r="J617" s="222">
        <f>IFERROR(__xludf.DUMMYFUNCTION("IMPORTRANGE(""https://docs.google.com/spreadsheets/d/1SX6NBoVAgQJ6U1MVXOaj8PK2l7WJ3RER9xtqwdhxkhw/edit?usp=sharing"",""ชลบุรี!J512"")"),0.0)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IFERROR(__xludf.DUMMYFUNCTION("IMPORTRANGE(""https://docs.google.com/spreadsheets/d/1SX6NBoVAgQJ6U1MVXOaj8PK2l7WJ3RER9xtqwdhxkhw/edit?usp=sharing"",""ชลบุรี!I513"")"),0.0)</f>
        <v>0</v>
      </c>
      <c r="J618" s="223">
        <f>IFERROR(__xludf.DUMMYFUNCTION("IMPORTRANGE(""https://docs.google.com/spreadsheets/d/1SX6NBoVAgQJ6U1MVXOaj8PK2l7WJ3RER9xtqwdhxkhw/edit?usp=sharing"",""ชลบุรี!J513"")"),0.0)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IFERROR(__xludf.DUMMYFUNCTION("IMPORTRANGE(""https://docs.google.com/spreadsheets/d/1SX6NBoVAgQJ6U1MVXOaj8PK2l7WJ3RER9xtqwdhxkhw/edit?usp=sharing"",""ชลบุรี!I514"")"),0.0)</f>
        <v>0</v>
      </c>
      <c r="J619" s="223">
        <f>IFERROR(__xludf.DUMMYFUNCTION("IMPORTRANGE(""https://docs.google.com/spreadsheets/d/1SX6NBoVAgQJ6U1MVXOaj8PK2l7WJ3RER9xtqwdhxkhw/edit?usp=sharing"",""ชลบุรี!J514"")"),0.0)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IFERROR(__xludf.DUMMYFUNCTION("IMPORTRANGE(""https://docs.google.com/spreadsheets/d/1SX6NBoVAgQJ6U1MVXOaj8PK2l7WJ3RER9xtqwdhxkhw/edit?usp=sharing"",""ชลบุรี!I515"")"),0.0)</f>
        <v>0</v>
      </c>
      <c r="J620" s="237">
        <f>IFERROR(__xludf.DUMMYFUNCTION("IMPORTRANGE(""https://docs.google.com/spreadsheets/d/1SX6NBoVAgQJ6U1MVXOaj8PK2l7WJ3RER9xtqwdhxkhw/edit?usp=sharing"",""ชลบุรี!J515"")"),0.0)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IFERROR(__xludf.DUMMYFUNCTION("IMPORTRANGE(""https://docs.google.com/spreadsheets/d/1SX6NBoVAgQJ6U1MVXOaj8PK2l7WJ3RER9xtqwdhxkhw/edit?usp=sharing"",""ชลบุรี!I516"")"),0.0)</f>
        <v>0</v>
      </c>
      <c r="J621" s="237">
        <f>IFERROR(__xludf.DUMMYFUNCTION("IMPORTRANGE(""https://docs.google.com/spreadsheets/d/1SX6NBoVAgQJ6U1MVXOaj8PK2l7WJ3RER9xtqwdhxkhw/edit?usp=sharing"",""ชลบุรี!J516"")"),0.0)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IFERROR(__xludf.DUMMYFUNCTION("IMPORTRANGE(""https://docs.google.com/spreadsheets/d/1SX6NBoVAgQJ6U1MVXOaj8PK2l7WJ3RER9xtqwdhxkhw/edit?usp=sharing"",""ชลบุรี!I517"")"),0.0)</f>
        <v>0</v>
      </c>
      <c r="J622" s="223">
        <f>IFERROR(__xludf.DUMMYFUNCTION("IMPORTRANGE(""https://docs.google.com/spreadsheets/d/1SX6NBoVAgQJ6U1MVXOaj8PK2l7WJ3RER9xtqwdhxkhw/edit?usp=sharing"",""ชลบุรี!J517"")"),0.0)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IFERROR(__xludf.DUMMYFUNCTION("IMPORTRANGE(""https://docs.google.com/spreadsheets/d/1SX6NBoVAgQJ6U1MVXOaj8PK2l7WJ3RER9xtqwdhxkhw/edit?usp=sharing"",""ชลบุรี!I518"")"),0.0)</f>
        <v>0</v>
      </c>
      <c r="J623" s="223">
        <f>IFERROR(__xludf.DUMMYFUNCTION("IMPORTRANGE(""https://docs.google.com/spreadsheets/d/1SX6NBoVAgQJ6U1MVXOaj8PK2l7WJ3RER9xtqwdhxkhw/edit?usp=sharing"",""ชลบุรี!J518"")"),0.0)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IFERROR(__xludf.DUMMYFUNCTION("IMPORTRANGE(""https://docs.google.com/spreadsheets/d/1SX6NBoVAgQJ6U1MVXOaj8PK2l7WJ3RER9xtqwdhxkhw/edit?usp=sharing"",""ชลบุรี!I519"")"),0.0)</f>
        <v>0</v>
      </c>
      <c r="J624" s="222">
        <f>IFERROR(__xludf.DUMMYFUNCTION("IMPORTRANGE(""https://docs.google.com/spreadsheets/d/1SX6NBoVAgQJ6U1MVXOaj8PK2l7WJ3RER9xtqwdhxkhw/edit?usp=sharing"",""ชลบุรี!J519"")"),0.0)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IFERROR(__xludf.DUMMYFUNCTION("IMPORTRANGE(""https://docs.google.com/spreadsheets/d/1SX6NBoVAgQJ6U1MVXOaj8PK2l7WJ3RER9xtqwdhxkhw/edit?usp=sharing"",""ชลบุรี!I520"")"),0.0)</f>
        <v>0</v>
      </c>
      <c r="J625" s="223">
        <f>IFERROR(__xludf.DUMMYFUNCTION("IMPORTRANGE(""https://docs.google.com/spreadsheets/d/1SX6NBoVAgQJ6U1MVXOaj8PK2l7WJ3RER9xtqwdhxkhw/edit?usp=sharing"",""ชลบุรี!J520"")"),0.0)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IFERROR(__xludf.DUMMYFUNCTION("IMPORTRANGE(""https://docs.google.com/spreadsheets/d/1SX6NBoVAgQJ6U1MVXOaj8PK2l7WJ3RER9xtqwdhxkhw/edit?usp=sharing"",""ชลบุรี!I521"")"),0.0)</f>
        <v>0</v>
      </c>
      <c r="J626" s="223">
        <f>IFERROR(__xludf.DUMMYFUNCTION("IMPORTRANGE(""https://docs.google.com/spreadsheets/d/1SX6NBoVAgQJ6U1MVXOaj8PK2l7WJ3RER9xtqwdhxkhw/edit?usp=sharing"",""ชลบุรี!J521"")"),0.0)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IFERROR(__xludf.DUMMYFUNCTION("IMPORTRANGE(""https://docs.google.com/spreadsheets/d/1SX6NBoVAgQJ6U1MVXOaj8PK2l7WJ3RER9xtqwdhxkhw/edit?usp=sharing"",""ชลบุรี!I523"")"),9955669.64)</f>
        <v>9955669.64</v>
      </c>
      <c r="J628" s="374">
        <f>IFERROR(__xludf.DUMMYFUNCTION("IMPORTRANGE(""https://docs.google.com/spreadsheets/d/1SX6NBoVAgQJ6U1MVXOaj8PK2l7WJ3RER9xtqwdhxkhw/edit?usp=sharing"",""ชลบุรี!J523"")"),970000.0)</f>
        <v>970000</v>
      </c>
      <c r="K628" s="375">
        <f t="shared" ref="K628:K635" si="130">IF(I628&gt;0,J628*100/I628,0)</f>
        <v>9.743191921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IFERROR(__xludf.DUMMYFUNCTION("IMPORTRANGE(""https://docs.google.com/spreadsheets/d/1SX6NBoVAgQJ6U1MVXOaj8PK2l7WJ3RER9xtqwdhxkhw/edit?usp=sharing"",""ชลบุรี!I524"")"),249.0)</f>
        <v>249</v>
      </c>
      <c r="J629" s="374">
        <f>IFERROR(__xludf.DUMMYFUNCTION("IMPORTRANGE(""https://docs.google.com/spreadsheets/d/1SX6NBoVAgQJ6U1MVXOaj8PK2l7WJ3RER9xtqwdhxkhw/edit?usp=sharing"",""ชลบุรี!J524"")"),21.0)</f>
        <v>21</v>
      </c>
      <c r="K629" s="375">
        <f t="shared" si="130"/>
        <v>8.43373494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IFERROR(__xludf.DUMMYFUNCTION("IMPORTRANGE(""https://docs.google.com/spreadsheets/d/1SX6NBoVAgQJ6U1MVXOaj8PK2l7WJ3RER9xtqwdhxkhw/edit?usp=sharing"",""ชลบุรี!I525"")"),186084.82)</f>
        <v>186084.82</v>
      </c>
      <c r="J630" s="374">
        <f>IFERROR(__xludf.DUMMYFUNCTION("IMPORTRANGE(""https://docs.google.com/spreadsheets/d/1SX6NBoVAgQJ6U1MVXOaj8PK2l7WJ3RER9xtqwdhxkhw/edit?usp=sharing"",""ชลบุรี!J525"")"),113577.25)</f>
        <v>113577.25</v>
      </c>
      <c r="K630" s="375">
        <f t="shared" si="130"/>
        <v>61.03520427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IFERROR(__xludf.DUMMYFUNCTION("IMPORTRANGE(""https://docs.google.com/spreadsheets/d/1SX6NBoVAgQJ6U1MVXOaj8PK2l7WJ3RER9xtqwdhxkhw/edit?usp=sharing"",""ชลบุรี!I526"")"),7.0)</f>
        <v>7</v>
      </c>
      <c r="J631" s="374">
        <f>IFERROR(__xludf.DUMMYFUNCTION("IMPORTRANGE(""https://docs.google.com/spreadsheets/d/1SX6NBoVAgQJ6U1MVXOaj8PK2l7WJ3RER9xtqwdhxkhw/edit?usp=sharing"",""ชลบุรี!J526"")"),6.0)</f>
        <v>6</v>
      </c>
      <c r="K631" s="375">
        <f t="shared" si="130"/>
        <v>85.71428571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IFERROR(__xludf.DUMMYFUNCTION("IMPORTRANGE(""https://docs.google.com/spreadsheets/d/1SX6NBoVAgQJ6U1MVXOaj8PK2l7WJ3RER9xtqwdhxkhw/edit?usp=sharing"",""ชลบุรี!I527"")"),0.0)</f>
        <v>0</v>
      </c>
      <c r="J632" s="374">
        <f>IFERROR(__xludf.DUMMYFUNCTION("IMPORTRANGE(""https://docs.google.com/spreadsheets/d/1SX6NBoVAgQJ6U1MVXOaj8PK2l7WJ3RER9xtqwdhxkhw/edit?usp=sharing"",""ชลบุรี!J527"")"),0.0)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IFERROR(__xludf.DUMMYFUNCTION("IMPORTRANGE(""https://docs.google.com/spreadsheets/d/1SX6NBoVAgQJ6U1MVXOaj8PK2l7WJ3RER9xtqwdhxkhw/edit?usp=sharing"",""ชลบุรี!I528"")"),0.0)</f>
        <v>0</v>
      </c>
      <c r="J633" s="374">
        <f>IFERROR(__xludf.DUMMYFUNCTION("IMPORTRANGE(""https://docs.google.com/spreadsheets/d/1SX6NBoVAgQJ6U1MVXOaj8PK2l7WJ3RER9xtqwdhxkhw/edit?usp=sharing"",""ชลบุรี!J528"")"),0.0)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IFERROR(__xludf.DUMMYFUNCTION("IMPORTRANGE(""https://docs.google.com/spreadsheets/d/1SX6NBoVAgQJ6U1MVXOaj8PK2l7WJ3RER9xtqwdhxkhw/edit?usp=sharing"",""ชลบุรี!I529"")"),5530000.0)</f>
        <v>5530000</v>
      </c>
      <c r="J634" s="374">
        <f>IFERROR(__xludf.DUMMYFUNCTION("IMPORTRANGE(""https://docs.google.com/spreadsheets/d/1SX6NBoVAgQJ6U1MVXOaj8PK2l7WJ3RER9xtqwdhxkhw/edit?usp=sharing"",""ชลบุรี!J529"")"),710000.0)</f>
        <v>710000</v>
      </c>
      <c r="K634" s="375">
        <f t="shared" si="130"/>
        <v>12.83905967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IFERROR(__xludf.DUMMYFUNCTION("IMPORTRANGE(""https://docs.google.com/spreadsheets/d/1SX6NBoVAgQJ6U1MVXOaj8PK2l7WJ3RER9xtqwdhxkhw/edit?usp=sharing"",""ชลบุรี!I530"")"),115.0)</f>
        <v>115</v>
      </c>
      <c r="J635" s="544">
        <f>IFERROR(__xludf.DUMMYFUNCTION("IMPORTRANGE(""https://docs.google.com/spreadsheets/d/1SX6NBoVAgQJ6U1MVXOaj8PK2l7WJ3RER9xtqwdhxkhw/edit?usp=sharing"",""ชลบุรี!J530"")"),15.0)</f>
        <v>15</v>
      </c>
      <c r="K635" s="519">
        <f t="shared" si="130"/>
        <v>13.04347826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247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3433699</v>
      </c>
      <c r="M8" s="41">
        <f t="shared" si="1"/>
        <v>1302917</v>
      </c>
      <c r="N8" s="41">
        <f t="shared" si="1"/>
        <v>1129252</v>
      </c>
      <c r="O8" s="40">
        <f t="shared" ref="O8:O16" si="3">IF(L8&gt;0,N8*100/L8,0)</f>
        <v>32.88733229</v>
      </c>
      <c r="P8" s="40">
        <f t="shared" ref="P8:P16" si="4">IF(M8&gt;0,N8*100/M8,0)</f>
        <v>86.67106193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3433699</v>
      </c>
      <c r="M10" s="48">
        <f t="shared" si="5"/>
        <v>1302917</v>
      </c>
      <c r="N10" s="48">
        <f t="shared" si="5"/>
        <v>1129252</v>
      </c>
      <c r="O10" s="47">
        <f t="shared" si="3"/>
        <v>32.88733229</v>
      </c>
      <c r="P10" s="47">
        <f t="shared" si="4"/>
        <v>86.67106193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3286699</v>
      </c>
      <c r="M12" s="58">
        <f t="shared" si="7"/>
        <v>1302917</v>
      </c>
      <c r="N12" s="58">
        <f t="shared" si="7"/>
        <v>990252</v>
      </c>
      <c r="O12" s="58">
        <f t="shared" si="3"/>
        <v>30.1290748</v>
      </c>
      <c r="P12" s="58">
        <f t="shared" si="4"/>
        <v>76.00269242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1582800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1703899</v>
      </c>
      <c r="M14" s="58">
        <f t="shared" si="9"/>
        <v>0</v>
      </c>
      <c r="N14" s="58">
        <f t="shared" si="9"/>
        <v>276060</v>
      </c>
      <c r="O14" s="61">
        <f t="shared" si="3"/>
        <v>16.20166454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139000</v>
      </c>
      <c r="O16" s="70">
        <f t="shared" si="3"/>
        <v>94.55782313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2605025</v>
      </c>
      <c r="M18" s="41">
        <f t="shared" si="12"/>
        <v>1302917</v>
      </c>
      <c r="N18" s="41">
        <f t="shared" si="12"/>
        <v>853192</v>
      </c>
      <c r="O18" s="40">
        <f t="shared" ref="O18:O20" si="14">IF(L18&gt;0,N18*100/L18,0)</f>
        <v>32.75177781</v>
      </c>
      <c r="P18" s="40">
        <f t="shared" ref="P18:P26" si="15">IF(M18&gt;0,N18*100/M18,0)</f>
        <v>65.48321958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2605025</v>
      </c>
      <c r="M20" s="48">
        <f t="shared" si="16"/>
        <v>1302917</v>
      </c>
      <c r="N20" s="48">
        <f t="shared" si="16"/>
        <v>853192</v>
      </c>
      <c r="O20" s="47">
        <f t="shared" si="14"/>
        <v>32.75177781</v>
      </c>
      <c r="P20" s="47">
        <f t="shared" si="15"/>
        <v>65.48321958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2458025</v>
      </c>
      <c r="M22" s="62">
        <f t="shared" si="18"/>
        <v>1302917</v>
      </c>
      <c r="N22" s="61">
        <f t="shared" si="18"/>
        <v>714192</v>
      </c>
      <c r="O22" s="61">
        <f t="shared" si="19"/>
        <v>29.05552222</v>
      </c>
      <c r="P22" s="61">
        <f t="shared" si="15"/>
        <v>54.81485006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1582800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875225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139000</v>
      </c>
      <c r="O26" s="70">
        <f t="shared" si="19"/>
        <v>94.55782313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828674</v>
      </c>
      <c r="M28" s="41">
        <f t="shared" si="24"/>
        <v>0</v>
      </c>
      <c r="N28" s="41">
        <f t="shared" si="24"/>
        <v>276060</v>
      </c>
      <c r="O28" s="40">
        <f t="shared" ref="O28:O30" si="26">IF(L28&gt;0,N28*100/L28,0)</f>
        <v>33.31346223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828674</v>
      </c>
      <c r="M30" s="48">
        <f t="shared" si="28"/>
        <v>0</v>
      </c>
      <c r="N30" s="48">
        <f t="shared" si="28"/>
        <v>276060</v>
      </c>
      <c r="O30" s="47">
        <f t="shared" si="26"/>
        <v>33.31346223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828674</v>
      </c>
      <c r="M32" s="61">
        <f t="shared" si="30"/>
        <v>0</v>
      </c>
      <c r="N32" s="61">
        <f t="shared" si="30"/>
        <v>276060</v>
      </c>
      <c r="O32" s="61">
        <f t="shared" si="31"/>
        <v>33.31346223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828674</v>
      </c>
      <c r="M34" s="61">
        <f t="shared" si="33"/>
        <v>0</v>
      </c>
      <c r="N34" s="61">
        <f t="shared" si="33"/>
        <v>276060</v>
      </c>
      <c r="O34" s="61">
        <f t="shared" si="31"/>
        <v>33.31346223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2605025</v>
      </c>
      <c r="M37" s="75">
        <f t="shared" si="34"/>
        <v>1302917</v>
      </c>
      <c r="N37" s="75">
        <f t="shared" si="34"/>
        <v>853192</v>
      </c>
      <c r="O37" s="76">
        <f t="shared" si="31"/>
        <v>32.75177781</v>
      </c>
      <c r="P37" s="76">
        <f t="shared" si="27"/>
        <v>65.48321958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620000</v>
      </c>
      <c r="M41" s="102">
        <f t="shared" si="35"/>
        <v>310100</v>
      </c>
      <c r="N41" s="102">
        <f t="shared" si="35"/>
        <v>249230</v>
      </c>
      <c r="O41" s="101">
        <f t="shared" ref="O41:O43" si="37">IF(L41&gt;0,N41*100/L41,0)</f>
        <v>40.1983871</v>
      </c>
      <c r="P41" s="101">
        <f t="shared" ref="P41:P43" si="38">IF(M41&gt;0,N41*100/M41,0)</f>
        <v>80.37084811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620000</v>
      </c>
      <c r="M43" s="102">
        <f t="shared" si="39"/>
        <v>310100</v>
      </c>
      <c r="N43" s="102">
        <f t="shared" si="39"/>
        <v>249230</v>
      </c>
      <c r="O43" s="101">
        <f t="shared" si="37"/>
        <v>40.1983871</v>
      </c>
      <c r="P43" s="101">
        <f t="shared" si="38"/>
        <v>80.37084811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620000</v>
      </c>
      <c r="M45" s="70">
        <f>IFERROR(__xludf.DUMMYFUNCTION("IMPORTRANGE(""https://docs.google.com/spreadsheets/d/1Yj_ptqi66GCucihVvJfMjLAmec39IyEx_6qawtMGysU/edit?usp=sharing"",""สบก!Q63"")"),310100.0)</f>
        <v>310100</v>
      </c>
      <c r="N45" s="70">
        <f>IFERROR(__xludf.DUMMYFUNCTION("IMPORTRANGE(""https://docs.google.com/spreadsheets/d/1Yj_ptqi66GCucihVvJfMjLAmec39IyEx_6qawtMGysU/edit?usp=sharing"",""สบก!R63"")"),249230.0)</f>
        <v>249230</v>
      </c>
      <c r="O45" s="61">
        <f>IF(L45&gt;0,N45*100/L45,0)</f>
        <v>40.1983871</v>
      </c>
      <c r="P45" s="61">
        <f>IF(M45&gt;0,N45*100/M45,0)</f>
        <v>80.37084811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IFERROR(__xludf.DUMMYFUNCTION("IMPORTRANGE(""https://docs.google.com/spreadsheets/d/1Yj_ptqi66GCucihVvJfMjLAmec39IyEx_6qawtMGysU/edit?usp=sharing"",""สบก!M63"")"),620000.0)</f>
        <v>620000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IFERROR(__xludf.DUMMYFUNCTION("IMPORTRANGE(""https://docs.google.com/spreadsheets/d/1Yj_ptqi66GCucihVvJfMjLAmec39IyEx_6qawtMGysU/edit?usp=sharing"",""สบก!N63"")"),0.0)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IFERROR(__xludf.DUMMYFUNCTION("IMPORTRANGE(""https://docs.google.com/spreadsheets/d/1Yj_ptqi66GCucihVvJfMjLAmec39IyEx_6qawtMGysU/edit?usp=sharing"",""สบก!O63"")"),0.0)</f>
        <v>0</v>
      </c>
      <c r="M49" s="70"/>
      <c r="N49" s="70">
        <f>IFERROR(__xludf.DUMMYFUNCTION("IMPORTRANGE(""https://docs.google.com/spreadsheets/d/1Yj_ptqi66GCucihVvJfMjLAmec39IyEx_6qawtMGysU/edit?usp=sharing"",""สบก!S63"")"),0.0)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355200</v>
      </c>
      <c r="M53" s="151">
        <f t="shared" si="40"/>
        <v>186172</v>
      </c>
      <c r="N53" s="151">
        <f t="shared" si="40"/>
        <v>102328</v>
      </c>
      <c r="O53" s="150">
        <f t="shared" ref="O53:O55" si="42">IF(L53&gt;0,N53*100/L53,0)</f>
        <v>28.80855856</v>
      </c>
      <c r="P53" s="150">
        <f t="shared" ref="P53:P55" si="43">IF(M53&gt;0,N53*100/M53,0)</f>
        <v>54.96422663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355200</v>
      </c>
      <c r="M55" s="151">
        <f t="shared" si="44"/>
        <v>186172</v>
      </c>
      <c r="N55" s="151">
        <f t="shared" si="44"/>
        <v>102328</v>
      </c>
      <c r="O55" s="150">
        <f t="shared" si="42"/>
        <v>28.80855856</v>
      </c>
      <c r="P55" s="150">
        <f t="shared" si="43"/>
        <v>54.96422663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355200</v>
      </c>
      <c r="M57" s="70">
        <f>IFERROR(__xludf.DUMMYFUNCTION("IMPORTRANGE(""https://docs.google.com/spreadsheets/d/1Yj_ptqi66GCucihVvJfMjLAmec39IyEx_6qawtMGysU/edit?usp=sharing"",""สบก!Z63"")"),186172.0)</f>
        <v>186172</v>
      </c>
      <c r="N57" s="70">
        <f>IFERROR(__xludf.DUMMYFUNCTION("IMPORTRANGE(""https://docs.google.com/spreadsheets/d/1Yj_ptqi66GCucihVvJfMjLAmec39IyEx_6qawtMGysU/edit?usp=sharing"",""สบก!AA63"")"),102328.0)</f>
        <v>102328</v>
      </c>
      <c r="O57" s="61">
        <f>IF(L57&gt;0,N57*100/L57,0)</f>
        <v>28.80855856</v>
      </c>
      <c r="P57" s="61">
        <f>IF(M57&gt;0,N57*100/M57,0)</f>
        <v>54.96422663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IFERROR(__xludf.DUMMYFUNCTION("IMPORTRANGE(""https://docs.google.com/spreadsheets/d/1Yj_ptqi66GCucihVvJfMjLAmec39IyEx_6qawtMGysU/edit?usp=sharing"",""สบก!V63"")"),355200.0)</f>
        <v>355200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IFERROR(__xludf.DUMMYFUNCTION("IMPORTRANGE(""https://docs.google.com/spreadsheets/d/1Yj_ptqi66GCucihVvJfMjLAmec39IyEx_6qawtMGysU/edit?usp=sharing"",""สบก!W63"")"),0.0)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IFERROR(__xludf.DUMMYFUNCTION("IMPORTRANGE(""https://docs.google.com/spreadsheets/d/1Yj_ptqi66GCucihVvJfMjLAmec39IyEx_6qawtMGysU/edit?usp=sharing"",""สบก!X63"")"),0.0)</f>
        <v>0</v>
      </c>
      <c r="M61" s="70"/>
      <c r="N61" s="70">
        <f>IFERROR(__xludf.DUMMYFUNCTION("IMPORTRANGE(""https://docs.google.com/spreadsheets/d/1Yj_ptqi66GCucihVvJfMjLAmec39IyEx_6qawtMGysU/edit?usp=sharing"",""สบก!AB63"")"),0.0)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IFERROR(__xludf.DUMMYFUNCTION("IMPORTRANGE(""https://docs.google.com/spreadsheets/d/1SX6NBoVAgQJ6U1MVXOaj8PK2l7WJ3RER9xtqwdhxkhw/edit?usp=sharing"",""ชัยนาท!I9"")"),1.0)</f>
        <v>1</v>
      </c>
      <c r="J64" s="172">
        <f>IFERROR(__xludf.DUMMYFUNCTION("IMPORTRANGE(""https://docs.google.com/spreadsheets/d/1SX6NBoVAgQJ6U1MVXOaj8PK2l7WJ3RER9xtqwdhxkhw/edit?usp=sharing"",""ชัยนาท!J9"")"),0.0)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IFERROR(__xludf.DUMMYFUNCTION("IMPORTRANGE(""https://docs.google.com/spreadsheets/d/1SX6NBoVAgQJ6U1MVXOaj8PK2l7WJ3RER9xtqwdhxkhw/edit?usp=sharing"",""ชัยนาท!I10"")"),30.0)</f>
        <v>30</v>
      </c>
      <c r="J65" s="172">
        <f>IFERROR(__xludf.DUMMYFUNCTION("IMPORTRANGE(""https://docs.google.com/spreadsheets/d/1SX6NBoVAgQJ6U1MVXOaj8PK2l7WJ3RER9xtqwdhxkhw/edit?usp=sharing"",""ชัยนาท!J10"")"),0.0)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453800</v>
      </c>
      <c r="M66" s="183">
        <f t="shared" si="46"/>
        <v>263520</v>
      </c>
      <c r="N66" s="183">
        <f t="shared" si="46"/>
        <v>159090</v>
      </c>
      <c r="O66" s="182">
        <f t="shared" ref="O66:O68" si="48">IF(L66&gt;0,N66*100/L66,0)</f>
        <v>35.05729396</v>
      </c>
      <c r="P66" s="182">
        <f t="shared" ref="P66:P68" si="49">IF(M66&gt;0,N66*100/M66,0)</f>
        <v>60.37112933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453800</v>
      </c>
      <c r="M68" s="188">
        <f t="shared" si="50"/>
        <v>263520</v>
      </c>
      <c r="N68" s="188">
        <f t="shared" si="50"/>
        <v>159090</v>
      </c>
      <c r="O68" s="187">
        <f t="shared" si="48"/>
        <v>35.05729396</v>
      </c>
      <c r="P68" s="187">
        <f t="shared" si="49"/>
        <v>60.37112933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453800</v>
      </c>
      <c r="M70" s="200">
        <f>IFERROR(__xludf.DUMMYFUNCTION("IMPORTRANGE(""https://docs.google.com/spreadsheets/d/1Yj_ptqi66GCucihVvJfMjLAmec39IyEx_6qawtMGysU/edit?usp=sharing"",""สบก!AI63"")"),263520.0)</f>
        <v>263520</v>
      </c>
      <c r="N70" s="203">
        <f>IFERROR(__xludf.DUMMYFUNCTION("IMPORTRANGE(""https://docs.google.com/spreadsheets/d/1Yj_ptqi66GCucihVvJfMjLAmec39IyEx_6qawtMGysU/edit?usp=sharing"",""สบก!AJ63"")"),159090.0)</f>
        <v>159090</v>
      </c>
      <c r="O70" s="203">
        <f>IF(L70&gt;0,N70*100/L70,0)</f>
        <v>35.05729396</v>
      </c>
      <c r="P70" s="203">
        <f>IF(M70&gt;0,N70*100/M70,0)</f>
        <v>60.37112933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IFERROR(__xludf.DUMMYFUNCTION("IMPORTRANGE(""https://docs.google.com/spreadsheets/d/1Yj_ptqi66GCucihVvJfMjLAmec39IyEx_6qawtMGysU/edit?usp=sharing"",""สบก!AE63"")"),81800.0)</f>
        <v>81800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IFERROR(__xludf.DUMMYFUNCTION("IMPORTRANGE(""https://docs.google.com/spreadsheets/d/1Yj_ptqi66GCucihVvJfMjLAmec39IyEx_6qawtMGysU/edit?usp=sharing"",""สบก!AF63"")"),372000.0)</f>
        <v>372000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IFERROR(__xludf.DUMMYFUNCTION("IMPORTRANGE(""https://docs.google.com/spreadsheets/d/1Yj_ptqi66GCucihVvJfMjLAmec39IyEx_6qawtMGysU/edit?usp=sharing"",""สบก!AG63"")"),0.0)</f>
        <v>0</v>
      </c>
      <c r="M74" s="70"/>
      <c r="N74" s="70">
        <f>IFERROR(__xludf.DUMMYFUNCTION("IMPORTRANGE(""https://docs.google.com/spreadsheets/d/1Yj_ptqi66GCucihVvJfMjLAmec39IyEx_6qawtMGysU/edit?usp=sharing"",""สบก!AK63"")"),0.0)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IFERROR(__xludf.DUMMYFUNCTION("IMPORTRANGE(""https://docs.google.com/spreadsheets/d/1SX6NBoVAgQJ6U1MVXOaj8PK2l7WJ3RER9xtqwdhxkhw/edit?usp=sharing"",""ชัยนาท!J16"")"),0.0)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IFERROR(__xludf.DUMMYFUNCTION("IMPORTRANGE(""https://docs.google.com/spreadsheets/d/1SX6NBoVAgQJ6U1MVXOaj8PK2l7WJ3RER9xtqwdhxkhw/edit?usp=sharing"",""ชัยนาท!J17"")"),1.0)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IFERROR(__xludf.DUMMYFUNCTION("IMPORTRANGE(""https://docs.google.com/spreadsheets/d/1SX6NBoVAgQJ6U1MVXOaj8PK2l7WJ3RER9xtqwdhxkhw/edit?usp=sharing"",""ชัยนาท!J18"")"),1.0)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IFERROR(__xludf.DUMMYFUNCTION("IMPORTRANGE(""https://docs.google.com/spreadsheets/d/1SX6NBoVAgQJ6U1MVXOaj8PK2l7WJ3RER9xtqwdhxkhw/edit?usp=sharing"",""ชัยนาท!J19"")"),0.0)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IFERROR(__xludf.DUMMYFUNCTION("IMPORTRANGE(""https://docs.google.com/spreadsheets/d/1SX6NBoVAgQJ6U1MVXOaj8PK2l7WJ3RER9xtqwdhxkhw/edit?usp=sharing"",""ชัยนาท!I20"")"),1.0)</f>
        <v>1</v>
      </c>
      <c r="J80" s="235">
        <f>IFERROR(__xludf.DUMMYFUNCTION("IMPORTRANGE(""https://docs.google.com/spreadsheets/d/1SX6NBoVAgQJ6U1MVXOaj8PK2l7WJ3RER9xtqwdhxkhw/edit?usp=sharing"",""ชัยนาท!J20"")"),0.0)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IFERROR(__xludf.DUMMYFUNCTION("IMPORTRANGE(""https://docs.google.com/spreadsheets/d/1SX6NBoVAgQJ6U1MVXOaj8PK2l7WJ3RER9xtqwdhxkhw/edit?usp=sharing"",""ชัยนาท!I21"")"),30.0)</f>
        <v>30</v>
      </c>
      <c r="J81" s="235">
        <f>IFERROR(__xludf.DUMMYFUNCTION("IMPORTRANGE(""https://docs.google.com/spreadsheets/d/1SX6NBoVAgQJ6U1MVXOaj8PK2l7WJ3RER9xtqwdhxkhw/edit?usp=sharing"",""ชัยนาท!J21"")"),0.0)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IFERROR(__xludf.DUMMYFUNCTION("IMPORTRANGE(""https://docs.google.com/spreadsheets/d/1SX6NBoVAgQJ6U1MVXOaj8PK2l7WJ3RER9xtqwdhxkhw/edit?usp=sharing"",""ชัยนาท!I22"")"),0.0)</f>
        <v>0</v>
      </c>
      <c r="J82" s="238">
        <f>IFERROR(__xludf.DUMMYFUNCTION("IMPORTRANGE(""https://docs.google.com/spreadsheets/d/1SX6NBoVAgQJ6U1MVXOaj8PK2l7WJ3RER9xtqwdhxkhw/edit?usp=sharing"",""ชัยนาท!J22"")"),0.0)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IFERROR(__xludf.DUMMYFUNCTION("IMPORTRANGE(""https://docs.google.com/spreadsheets/d/1SX6NBoVAgQJ6U1MVXOaj8PK2l7WJ3RER9xtqwdhxkhw/edit?usp=sharing"",""ชัยนาท!I23"")"),0.0)</f>
        <v>0</v>
      </c>
      <c r="J83" s="238">
        <f>IFERROR(__xludf.DUMMYFUNCTION("IMPORTRANGE(""https://docs.google.com/spreadsheets/d/1SX6NBoVAgQJ6U1MVXOaj8PK2l7WJ3RER9xtqwdhxkhw/edit?usp=sharing"",""ชัยนาท!J23"")"),0.0)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IFERROR(__xludf.DUMMYFUNCTION("IMPORTRANGE(""https://docs.google.com/spreadsheets/d/1SX6NBoVAgQJ6U1MVXOaj8PK2l7WJ3RER9xtqwdhxkhw/edit?usp=sharing"",""ชัยนาท!I24"")"),1.0)</f>
        <v>1</v>
      </c>
      <c r="J84" s="223">
        <f>IFERROR(__xludf.DUMMYFUNCTION("IMPORTRANGE(""https://docs.google.com/spreadsheets/d/1SX6NBoVAgQJ6U1MVXOaj8PK2l7WJ3RER9xtqwdhxkhw/edit?usp=sharing"",""ชัยนาท!J24"")"),0.0)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IFERROR(__xludf.DUMMYFUNCTION("IMPORTRANGE(""https://docs.google.com/spreadsheets/d/1SX6NBoVAgQJ6U1MVXOaj8PK2l7WJ3RER9xtqwdhxkhw/edit?usp=sharing"",""ชัยนาท!I25"")"),30.0)</f>
        <v>30</v>
      </c>
      <c r="J85" s="223">
        <f>IFERROR(__xludf.DUMMYFUNCTION("IMPORTRANGE(""https://docs.google.com/spreadsheets/d/1SX6NBoVAgQJ6U1MVXOaj8PK2l7WJ3RER9xtqwdhxkhw/edit?usp=sharing"",""ชัยนาท!J25"")"),0.0)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IFERROR(__xludf.DUMMYFUNCTION("IMPORTRANGE(""https://docs.google.com/spreadsheets/d/1SX6NBoVAgQJ6U1MVXOaj8PK2l7WJ3RER9xtqwdhxkhw/edit?usp=sharing"",""ชัยนาท!I26"")"),0.0)</f>
        <v>0</v>
      </c>
      <c r="J86" s="238">
        <f>IFERROR(__xludf.DUMMYFUNCTION("IMPORTRANGE(""https://docs.google.com/spreadsheets/d/1SX6NBoVAgQJ6U1MVXOaj8PK2l7WJ3RER9xtqwdhxkhw/edit?usp=sharing"",""ชัยนาท!J26"")"),0.0)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IFERROR(__xludf.DUMMYFUNCTION("IMPORTRANGE(""https://docs.google.com/spreadsheets/d/1SX6NBoVAgQJ6U1MVXOaj8PK2l7WJ3RER9xtqwdhxkhw/edit?usp=sharing"",""ชัยนาท!I27"")"),0.0)</f>
        <v>0</v>
      </c>
      <c r="J87" s="238">
        <f>IFERROR(__xludf.DUMMYFUNCTION("IMPORTRANGE(""https://docs.google.com/spreadsheets/d/1SX6NBoVAgQJ6U1MVXOaj8PK2l7WJ3RER9xtqwdhxkhw/edit?usp=sharing"",""ชัยนาท!J27"")"),0.0)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IFERROR(__xludf.DUMMYFUNCTION("IMPORTRANGE(""https://docs.google.com/spreadsheets/d/1SX6NBoVAgQJ6U1MVXOaj8PK2l7WJ3RER9xtqwdhxkhw/edit?usp=sharing"",""ชัยนาท!I28"")"),0.0)</f>
        <v>0</v>
      </c>
      <c r="J88" s="238">
        <f>IFERROR(__xludf.DUMMYFUNCTION("IMPORTRANGE(""https://docs.google.com/spreadsheets/d/1SX6NBoVAgQJ6U1MVXOaj8PK2l7WJ3RER9xtqwdhxkhw/edit?usp=sharing"",""ชัยนาท!J28"")"),0.0)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IFERROR(__xludf.DUMMYFUNCTION("IMPORTRANGE(""https://docs.google.com/spreadsheets/d/1SX6NBoVAgQJ6U1MVXOaj8PK2l7WJ3RER9xtqwdhxkhw/edit?usp=sharing"",""ชัยนาท!J29"")"),0.0)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IFERROR(__xludf.DUMMYFUNCTION("IMPORTRANGE(""https://docs.google.com/spreadsheets/d/1SX6NBoVAgQJ6U1MVXOaj8PK2l7WJ3RER9xtqwdhxkhw/edit?usp=sharing"",""ชัยนาท!J30"")"),0.0)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IFERROR(__xludf.DUMMYFUNCTION("IMPORTRANGE(""https://docs.google.com/spreadsheets/d/1SX6NBoVAgQJ6U1MVXOaj8PK2l7WJ3RER9xtqwdhxkhw/edit?usp=sharing"",""ชัยนาท!I32"")"),0.0)</f>
        <v>0</v>
      </c>
      <c r="J92" s="172">
        <f>IFERROR(__xludf.DUMMYFUNCTION("IMPORTRANGE(""https://docs.google.com/spreadsheets/d/1SX6NBoVAgQJ6U1MVXOaj8PK2l7WJ3RER9xtqwdhxkhw/edit?usp=sharing"",""ชัยนาท!J32"")"),0.0)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IFERROR(__xludf.DUMMYFUNCTION("IMPORTRANGE(""https://docs.google.com/spreadsheets/d/1SX6NBoVAgQJ6U1MVXOaj8PK2l7WJ3RER9xtqwdhxkhw/edit?usp=sharing"",""ชัยนาท!I33"")"),0.0)</f>
        <v>0</v>
      </c>
      <c r="J93" s="172">
        <f>IFERROR(__xludf.DUMMYFUNCTION("IMPORTRANGE(""https://docs.google.com/spreadsheets/d/1SX6NBoVAgQJ6U1MVXOaj8PK2l7WJ3RER9xtqwdhxkhw/edit?usp=sharing"",""ชัยนาท!J33"")"),0.0)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IFERROR(__xludf.DUMMYFUNCTION("IMPORTRANGE(""https://docs.google.com/spreadsheets/d/1Yj_ptqi66GCucihVvJfMjLAmec39IyEx_6qawtMGysU/edit?usp=sharing"",""สบก!AR63"")"),0.0)</f>
        <v>0</v>
      </c>
      <c r="N98" s="203">
        <f>IFERROR(__xludf.DUMMYFUNCTION("IMPORTRANGE(""https://docs.google.com/spreadsheets/d/1Yj_ptqi66GCucihVvJfMjLAmec39IyEx_6qawtMGysU/edit?usp=sharing"",""สบก!AS63"")"),0.0)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IFERROR(__xludf.DUMMYFUNCTION("IMPORTRANGE(""https://docs.google.com/spreadsheets/d/1Yj_ptqi66GCucihVvJfMjLAmec39IyEx_6qawtMGysU/edit?usp=sharing"",""สบก!AN63"")"),0.0)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IFERROR(__xludf.DUMMYFUNCTION("IMPORTRANGE(""https://docs.google.com/spreadsheets/d/1Yj_ptqi66GCucihVvJfMjLAmec39IyEx_6qawtMGysU/edit?usp=sharing"",""สบก!AO63"")"),0.0)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IFERROR(__xludf.DUMMYFUNCTION("IMPORTRANGE(""https://docs.google.com/spreadsheets/d/1Yj_ptqi66GCucihVvJfMjLAmec39IyEx_6qawtMGysU/edit?usp=sharing"",""สบก!AP63"")"),0.0)</f>
        <v>0</v>
      </c>
      <c r="M102" s="70"/>
      <c r="N102" s="70">
        <f>IFERROR(__xludf.DUMMYFUNCTION("IMPORTRANGE(""https://docs.google.com/spreadsheets/d/1Yj_ptqi66GCucihVvJfMjLAmec39IyEx_6qawtMGysU/edit?usp=sharing"",""สบก!AT63"")"),0.0)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IFERROR(__xludf.DUMMYFUNCTION("IMPORTRANGE(""https://docs.google.com/spreadsheets/d/1SX6NBoVAgQJ6U1MVXOaj8PK2l7WJ3RER9xtqwdhxkhw/edit?usp=sharing"",""ชัยนาท!J39"")"),0.0)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IFERROR(__xludf.DUMMYFUNCTION("IMPORTRANGE(""https://docs.google.com/spreadsheets/d/1SX6NBoVAgQJ6U1MVXOaj8PK2l7WJ3RER9xtqwdhxkhw/edit?usp=sharing"",""ชัยนาท!J40"")"),0.0)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IFERROR(__xludf.DUMMYFUNCTION("IMPORTRANGE(""https://docs.google.com/spreadsheets/d/1SX6NBoVAgQJ6U1MVXOaj8PK2l7WJ3RER9xtqwdhxkhw/edit?usp=sharing"",""ชัยนาท!J41"")"),0.0)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IFERROR(__xludf.DUMMYFUNCTION("IMPORTRANGE(""https://docs.google.com/spreadsheets/d/1SX6NBoVAgQJ6U1MVXOaj8PK2l7WJ3RER9xtqwdhxkhw/edit?usp=sharing"",""ชัยนาท!J42"")"),0.0)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IFERROR(__xludf.DUMMYFUNCTION("IMPORTRANGE(""https://docs.google.com/spreadsheets/d/1SX6NBoVAgQJ6U1MVXOaj8PK2l7WJ3RER9xtqwdhxkhw/edit?usp=sharing"",""ชัยนาท!I43"")"),0.0)</f>
        <v>0</v>
      </c>
      <c r="J108" s="238">
        <f>IFERROR(__xludf.DUMMYFUNCTION("IMPORTRANGE(""https://docs.google.com/spreadsheets/d/1SX6NBoVAgQJ6U1MVXOaj8PK2l7WJ3RER9xtqwdhxkhw/edit?usp=sharing"",""ชัยนาท!J43"")"),0.0)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IFERROR(__xludf.DUMMYFUNCTION("IMPORTRANGE(""https://docs.google.com/spreadsheets/d/1SX6NBoVAgQJ6U1MVXOaj8PK2l7WJ3RER9xtqwdhxkhw/edit?usp=sharing"",""ชัยนาท!I44"")"),0.0)</f>
        <v>0</v>
      </c>
      <c r="J109" s="238">
        <f>IFERROR(__xludf.DUMMYFUNCTION("IMPORTRANGE(""https://docs.google.com/spreadsheets/d/1SX6NBoVAgQJ6U1MVXOaj8PK2l7WJ3RER9xtqwdhxkhw/edit?usp=sharing"",""ชัยนาท!J44"")"),0.0)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IFERROR(__xludf.DUMMYFUNCTION("IMPORTRANGE(""https://docs.google.com/spreadsheets/d/1SX6NBoVAgQJ6U1MVXOaj8PK2l7WJ3RER9xtqwdhxkhw/edit?usp=sharing"",""ชัยนาท!I45"")"),0.0)</f>
        <v>0</v>
      </c>
      <c r="J110" s="238">
        <f>IFERROR(__xludf.DUMMYFUNCTION("IMPORTRANGE(""https://docs.google.com/spreadsheets/d/1SX6NBoVAgQJ6U1MVXOaj8PK2l7WJ3RER9xtqwdhxkhw/edit?usp=sharing"",""ชัยนาท!J45"")"),0.0)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IFERROR(__xludf.DUMMYFUNCTION("IMPORTRANGE(""https://docs.google.com/spreadsheets/d/1SX6NBoVAgQJ6U1MVXOaj8PK2l7WJ3RER9xtqwdhxkhw/edit?usp=sharing"",""ชัยนาท!I46"")"),0.0)</f>
        <v>0</v>
      </c>
      <c r="J111" s="238">
        <f>IFERROR(__xludf.DUMMYFUNCTION("IMPORTRANGE(""https://docs.google.com/spreadsheets/d/1SX6NBoVAgQJ6U1MVXOaj8PK2l7WJ3RER9xtqwdhxkhw/edit?usp=sharing"",""ชัยนาท!J46"")"),0.0)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IFERROR(__xludf.DUMMYFUNCTION("IMPORTRANGE(""https://docs.google.com/spreadsheets/d/1SX6NBoVAgQJ6U1MVXOaj8PK2l7WJ3RER9xtqwdhxkhw/edit?usp=sharing"",""ชัยนาท!I47"")"),0.0)</f>
        <v>0</v>
      </c>
      <c r="J112" s="238">
        <f>IFERROR(__xludf.DUMMYFUNCTION("IMPORTRANGE(""https://docs.google.com/spreadsheets/d/1SX6NBoVAgQJ6U1MVXOaj8PK2l7WJ3RER9xtqwdhxkhw/edit?usp=sharing"",""ชัยนาท!J47"")"),0.0)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IFERROR(__xludf.DUMMYFUNCTION("IMPORTRANGE(""https://docs.google.com/spreadsheets/d/1SX6NBoVAgQJ6U1MVXOaj8PK2l7WJ3RER9xtqwdhxkhw/edit?usp=sharing"",""ชัยนาท!I48"")"),0.0)</f>
        <v>0</v>
      </c>
      <c r="J113" s="238">
        <f>IFERROR(__xludf.DUMMYFUNCTION("IMPORTRANGE(""https://docs.google.com/spreadsheets/d/1SX6NBoVAgQJ6U1MVXOaj8PK2l7WJ3RER9xtqwdhxkhw/edit?usp=sharing"",""ชัยนาท!J48"")"),0.0)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IFERROR(__xludf.DUMMYFUNCTION("IMPORTRANGE(""https://docs.google.com/spreadsheets/d/1SX6NBoVAgQJ6U1MVXOaj8PK2l7WJ3RER9xtqwdhxkhw/edit?usp=sharing"",""ชัยนาท!J49"")"),0.0)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IFERROR(__xludf.DUMMYFUNCTION("IMPORTRANGE(""https://docs.google.com/spreadsheets/d/1SX6NBoVAgQJ6U1MVXOaj8PK2l7WJ3RER9xtqwdhxkhw/edit?usp=sharing"",""ชัยนาท!J50"")"),0.0)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IFERROR(__xludf.DUMMYFUNCTION("IMPORTRANGE(""https://docs.google.com/spreadsheets/d/1SX6NBoVAgQJ6U1MVXOaj8PK2l7WJ3RER9xtqwdhxkhw/edit?usp=sharing"",""ชัยนาท!I52"")"),0.0)</f>
        <v>0</v>
      </c>
      <c r="J117" s="172">
        <f>IFERROR(__xludf.DUMMYFUNCTION("IMPORTRANGE(""https://docs.google.com/spreadsheets/d/1SX6NBoVAgQJ6U1MVXOaj8PK2l7WJ3RER9xtqwdhxkhw/edit?usp=sharing"",""ชัยนาท!J52"")"),0.0)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IFERROR(__xludf.DUMMYFUNCTION("IMPORTRANGE(""https://docs.google.com/spreadsheets/d/1Yj_ptqi66GCucihVvJfMjLAmec39IyEx_6qawtMGysU/edit?usp=sharing"",""สบก!BA63"")"),0.0)</f>
        <v>0</v>
      </c>
      <c r="N122" s="203">
        <f>IFERROR(__xludf.DUMMYFUNCTION("IMPORTRANGE(""https://docs.google.com/spreadsheets/d/1Yj_ptqi66GCucihVvJfMjLAmec39IyEx_6qawtMGysU/edit?usp=sharing"",""สบก!BB63"")"),0.0)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IFERROR(__xludf.DUMMYFUNCTION("IMPORTRANGE(""https://docs.google.com/spreadsheets/d/1Yj_ptqi66GCucihVvJfMjLAmec39IyEx_6qawtMGysU/edit?usp=sharing"",""สบก!AW63"")"),0.0)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IFERROR(__xludf.DUMMYFUNCTION("IMPORTRANGE(""https://docs.google.com/spreadsheets/d/1Yj_ptqi66GCucihVvJfMjLAmec39IyEx_6qawtMGysU/edit?usp=sharing"",""สบก!AX63"")"),0.0)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IFERROR(__xludf.DUMMYFUNCTION("IMPORTRANGE(""https://docs.google.com/spreadsheets/d/1Yj_ptqi66GCucihVvJfMjLAmec39IyEx_6qawtMGysU/edit?usp=sharing"",""สบก!AY63"")"),0.0)</f>
        <v>0</v>
      </c>
      <c r="M126" s="70"/>
      <c r="N126" s="70">
        <f>IFERROR(__xludf.DUMMYFUNCTION("IMPORTRANGE(""https://docs.google.com/spreadsheets/d/1Yj_ptqi66GCucihVvJfMjLAmec39IyEx_6qawtMGysU/edit?usp=sharing"",""สบก!BC63"")"),0.0)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248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IFERROR(__xludf.DUMMYFUNCTION("IMPORTRANGE(""https://docs.google.com/spreadsheets/d/1SX6NBoVAgQJ6U1MVXOaj8PK2l7WJ3RER9xtqwdhxkhw/edit?usp=sharing"",""ชัยนาท!J58"")"),0.0)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IFERROR(__xludf.DUMMYFUNCTION("IMPORTRANGE(""https://docs.google.com/spreadsheets/d/1SX6NBoVAgQJ6U1MVXOaj8PK2l7WJ3RER9xtqwdhxkhw/edit?usp=sharing"",""ชัยนาท!J59"")"),0.0)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IFERROR(__xludf.DUMMYFUNCTION("IMPORTRANGE(""https://docs.google.com/spreadsheets/d/1SX6NBoVAgQJ6U1MVXOaj8PK2l7WJ3RER9xtqwdhxkhw/edit?usp=sharing"",""ชัยนาท!J60"")"),0.0)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IFERROR(__xludf.DUMMYFUNCTION("IMPORTRANGE(""https://docs.google.com/spreadsheets/d/1SX6NBoVAgQJ6U1MVXOaj8PK2l7WJ3RER9xtqwdhxkhw/edit?usp=sharing"",""ชัยนาท!J61"")"),0.0)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IFERROR(__xludf.DUMMYFUNCTION("IMPORTRANGE(""https://docs.google.com/spreadsheets/d/1SX6NBoVAgQJ6U1MVXOaj8PK2l7WJ3RER9xtqwdhxkhw/edit?usp=sharing"",""ชัยนาท!I62"")"),0.0)</f>
        <v>0</v>
      </c>
      <c r="J132" s="238">
        <f>IFERROR(__xludf.DUMMYFUNCTION("IMPORTRANGE(""https://docs.google.com/spreadsheets/d/1SX6NBoVAgQJ6U1MVXOaj8PK2l7WJ3RER9xtqwdhxkhw/edit?usp=sharing"",""ชัยนาท!J62"")"),0.0)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IFERROR(__xludf.DUMMYFUNCTION("IMPORTRANGE(""https://docs.google.com/spreadsheets/d/1SX6NBoVAgQJ6U1MVXOaj8PK2l7WJ3RER9xtqwdhxkhw/edit?usp=sharing"",""ชัยนาท!I63"")"),0.0)</f>
        <v>0</v>
      </c>
      <c r="J133" s="238">
        <f>IFERROR(__xludf.DUMMYFUNCTION("IMPORTRANGE(""https://docs.google.com/spreadsheets/d/1SX6NBoVAgQJ6U1MVXOaj8PK2l7WJ3RER9xtqwdhxkhw/edit?usp=sharing"",""ชัยนาท!J63"")"),0.0)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IFERROR(__xludf.DUMMYFUNCTION("IMPORTRANGE(""https://docs.google.com/spreadsheets/d/1SX6NBoVAgQJ6U1MVXOaj8PK2l7WJ3RER9xtqwdhxkhw/edit?usp=sharing"",""ชัยนาท!J64"")"),0.0)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IFERROR(__xludf.DUMMYFUNCTION("IMPORTRANGE(""https://docs.google.com/spreadsheets/d/1SX6NBoVAgQJ6U1MVXOaj8PK2l7WJ3RER9xtqwdhxkhw/edit?usp=sharing"",""ชัยนาท!J65"")"),0.0)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IFERROR(__xludf.DUMMYFUNCTION("IMPORTRANGE(""https://docs.google.com/spreadsheets/d/1SX6NBoVAgQJ6U1MVXOaj8PK2l7WJ3RER9xtqwdhxkhw/edit?usp=sharing"",""ชัยนาท!I68"")"),15.0)</f>
        <v>15</v>
      </c>
      <c r="J138" s="301">
        <f>IFERROR(__xludf.DUMMYFUNCTION("IMPORTRANGE(""https://docs.google.com/spreadsheets/d/1SX6NBoVAgQJ6U1MVXOaj8PK2l7WJ3RER9xtqwdhxkhw/edit?usp=sharing"",""ชัยนาท!J68"")"),15.0)</f>
        <v>15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264400</v>
      </c>
      <c r="M140" s="183">
        <f t="shared" si="65"/>
        <v>142650</v>
      </c>
      <c r="N140" s="183">
        <f t="shared" si="65"/>
        <v>43899</v>
      </c>
      <c r="O140" s="182">
        <f t="shared" ref="O140:O142" si="67">IF(L140&gt;0,N140*100/L140,0)</f>
        <v>16.60325265</v>
      </c>
      <c r="P140" s="182">
        <f t="shared" ref="P140:P142" si="68">IF(M140&gt;0,N140*100/M140,0)</f>
        <v>30.77392219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264400</v>
      </c>
      <c r="M142" s="188">
        <f t="shared" si="69"/>
        <v>142650</v>
      </c>
      <c r="N142" s="188">
        <f t="shared" si="69"/>
        <v>43899</v>
      </c>
      <c r="O142" s="187">
        <f t="shared" si="67"/>
        <v>16.60325265</v>
      </c>
      <c r="P142" s="187">
        <f t="shared" si="68"/>
        <v>30.77392219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264400</v>
      </c>
      <c r="M144" s="200">
        <f>IFERROR(__xludf.DUMMYFUNCTION("IMPORTRANGE(""https://docs.google.com/spreadsheets/d/1Yj_ptqi66GCucihVvJfMjLAmec39IyEx_6qawtMGysU/edit?usp=sharing"",""สบก!BJ63"")"),142650.0)</f>
        <v>142650</v>
      </c>
      <c r="N144" s="203">
        <f>IFERROR(__xludf.DUMMYFUNCTION("IMPORTRANGE(""https://docs.google.com/spreadsheets/d/1Yj_ptqi66GCucihVvJfMjLAmec39IyEx_6qawtMGysU/edit?usp=sharing"",""สบก!BK63"")"),43899.0)</f>
        <v>43899</v>
      </c>
      <c r="O144" s="203">
        <f>IF(L144&gt;0,N144*100/L144,0)</f>
        <v>16.60325265</v>
      </c>
      <c r="P144" s="203">
        <f>IF(M144&gt;0,N144*100/M144,0)</f>
        <v>30.77392219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IFERROR(__xludf.DUMMYFUNCTION("IMPORTRANGE(""https://docs.google.com/spreadsheets/d/1Yj_ptqi66GCucihVvJfMjLAmec39IyEx_6qawtMGysU/edit?usp=sharing"",""สบก!BF63"")"),219800.0)</f>
        <v>219800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IFERROR(__xludf.DUMMYFUNCTION("IMPORTRANGE(""https://docs.google.com/spreadsheets/d/1Yj_ptqi66GCucihVvJfMjLAmec39IyEx_6qawtMGysU/edit?usp=sharing"",""สบก!BG63"")"),44600.0)</f>
        <v>44600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IFERROR(__xludf.DUMMYFUNCTION("IMPORTRANGE(""https://docs.google.com/spreadsheets/d/1Yj_ptqi66GCucihVvJfMjLAmec39IyEx_6qawtMGysU/edit?usp=sharing"",""สบก!BH63"")"),0.0)</f>
        <v>0</v>
      </c>
      <c r="M148" s="70"/>
      <c r="N148" s="70">
        <f>IFERROR(__xludf.DUMMYFUNCTION("IMPORTRANGE(""https://docs.google.com/spreadsheets/d/1Yj_ptqi66GCucihVvJfMjLAmec39IyEx_6qawtMGysU/edit?usp=sharing"",""สบก!BL63"")"),0.0)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IFERROR(__xludf.DUMMYFUNCTION("IMPORTRANGE(""https://docs.google.com/spreadsheets/d/1SX6NBoVAgQJ6U1MVXOaj8PK2l7WJ3RER9xtqwdhxkhw/edit?usp=sharing"",""ชัยนาท!I74"")"),4.0)</f>
        <v>4</v>
      </c>
      <c r="J149" s="309">
        <f>IFERROR(__xludf.DUMMYFUNCTION("IMPORTRANGE(""https://docs.google.com/spreadsheets/d/1SX6NBoVAgQJ6U1MVXOaj8PK2l7WJ3RER9xtqwdhxkhw/edit?usp=sharing"",""ชัยนาท!J74"")"),1.0)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IFERROR(__xludf.DUMMYFUNCTION("IMPORTRANGE(""https://docs.google.com/spreadsheets/d/1SX6NBoVAgQJ6U1MVXOaj8PK2l7WJ3RER9xtqwdhxkhw/edit?usp=sharing"",""ชัยนาท!J79"")"),1.0)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IFERROR(__xludf.DUMMYFUNCTION("IMPORTRANGE(""https://docs.google.com/spreadsheets/d/1SX6NBoVAgQJ6U1MVXOaj8PK2l7WJ3RER9xtqwdhxkhw/edit?usp=sharing"",""ชัยนาท!J80"")"),0.0)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IFERROR(__xludf.DUMMYFUNCTION("IMPORTRANGE(""https://docs.google.com/spreadsheets/d/1SX6NBoVAgQJ6U1MVXOaj8PK2l7WJ3RER9xtqwdhxkhw/edit?usp=sharing"",""ชัยนาท!J81"")"),0.0)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IFERROR(__xludf.DUMMYFUNCTION("IMPORTRANGE(""https://docs.google.com/spreadsheets/d/1SX6NBoVAgQJ6U1MVXOaj8PK2l7WJ3RER9xtqwdhxkhw/edit?usp=sharing"",""ชัยนาท!J82"")"),0.0)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IFERROR(__xludf.DUMMYFUNCTION("IMPORTRANGE(""https://docs.google.com/spreadsheets/d/1SX6NBoVAgQJ6U1MVXOaj8PK2l7WJ3RER9xtqwdhxkhw/edit?usp=sharing"",""ชัยนาท!I83"")"),4.0)</f>
        <v>4</v>
      </c>
      <c r="J158" s="223">
        <f>IFERROR(__xludf.DUMMYFUNCTION("IMPORTRANGE(""https://docs.google.com/spreadsheets/d/1SX6NBoVAgQJ6U1MVXOaj8PK2l7WJ3RER9xtqwdhxkhw/edit?usp=sharing"",""ชัยนาท!J83"")"),1.0)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IFERROR(__xludf.DUMMYFUNCTION("IMPORTRANGE(""https://docs.google.com/spreadsheets/d/1SX6NBoVAgQJ6U1MVXOaj8PK2l7WJ3RER9xtqwdhxkhw/edit?usp=sharing"",""ชัยนาท!J84"")"),21.0)</f>
        <v>21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IFERROR(__xludf.DUMMYFUNCTION("IMPORTRANGE(""https://docs.google.com/spreadsheets/d/1SX6NBoVAgQJ6U1MVXOaj8PK2l7WJ3RER9xtqwdhxkhw/edit?usp=sharing"",""ชัยนาท!J85"")"),21.0)</f>
        <v>21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IFERROR(__xludf.DUMMYFUNCTION("IMPORTRANGE(""https://docs.google.com/spreadsheets/d/1SX6NBoVAgQJ6U1MVXOaj8PK2l7WJ3RER9xtqwdhxkhw/edit?usp=sharing"",""ชัยนาท!J86"")"),0.0)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IFERROR(__xludf.DUMMYFUNCTION("IMPORTRANGE(""https://docs.google.com/spreadsheets/d/1SX6NBoVAgQJ6U1MVXOaj8PK2l7WJ3RER9xtqwdhxkhw/edit?usp=sharing"",""ชัยนาท!J87"")"),0.0)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IFERROR(__xludf.DUMMYFUNCTION("IMPORTRANGE(""https://docs.google.com/spreadsheets/d/1SX6NBoVAgQJ6U1MVXOaj8PK2l7WJ3RER9xtqwdhxkhw/edit?usp=sharing"",""ชัยนาท!J88"")"),0.0)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IFERROR(__xludf.DUMMYFUNCTION("IMPORTRANGE(""https://docs.google.com/spreadsheets/d/1SX6NBoVAgQJ6U1MVXOaj8PK2l7WJ3RER9xtqwdhxkhw/edit?usp=sharing"",""ชัยนาท!I89"")"),1.0)</f>
        <v>1</v>
      </c>
      <c r="J164" s="317">
        <f>IFERROR(__xludf.DUMMYFUNCTION("IMPORTRANGE(""https://docs.google.com/spreadsheets/d/1SX6NBoVAgQJ6U1MVXOaj8PK2l7WJ3RER9xtqwdhxkhw/edit?usp=sharing"",""ชัยนาท!J89"")"),0.0)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IFERROR(__xludf.DUMMYFUNCTION("IMPORTRANGE(""https://docs.google.com/spreadsheets/d/1SX6NBoVAgQJ6U1MVXOaj8PK2l7WJ3RER9xtqwdhxkhw/edit?usp=sharing"",""ชัยนาท!J94"")"),1.0)</f>
        <v>1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IFERROR(__xludf.DUMMYFUNCTION("IMPORTRANGE(""https://docs.google.com/spreadsheets/d/1SX6NBoVAgQJ6U1MVXOaj8PK2l7WJ3RER9xtqwdhxkhw/edit?usp=sharing"",""ชัยนาท!J95"")"),0.0)</f>
        <v>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IFERROR(__xludf.DUMMYFUNCTION("IMPORTRANGE(""https://docs.google.com/spreadsheets/d/1SX6NBoVAgQJ6U1MVXOaj8PK2l7WJ3RER9xtqwdhxkhw/edit?usp=sharing"",""ชัยนาท!J96"")"),0.0)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IFERROR(__xludf.DUMMYFUNCTION("IMPORTRANGE(""https://docs.google.com/spreadsheets/d/1SX6NBoVAgQJ6U1MVXOaj8PK2l7WJ3RER9xtqwdhxkhw/edit?usp=sharing"",""ชัยนาท!J97"")"),0.0)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IFERROR(__xludf.DUMMYFUNCTION("IMPORTRANGE(""https://docs.google.com/spreadsheets/d/1SX6NBoVAgQJ6U1MVXOaj8PK2l7WJ3RER9xtqwdhxkhw/edit?usp=sharing"",""ชัยนาท!I98"")"),1.0)</f>
        <v>1</v>
      </c>
      <c r="J173" s="223">
        <f>IFERROR(__xludf.DUMMYFUNCTION("IMPORTRANGE(""https://docs.google.com/spreadsheets/d/1SX6NBoVAgQJ6U1MVXOaj8PK2l7WJ3RER9xtqwdhxkhw/edit?usp=sharing"",""ชัยนาท!J98"")"),0.0)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IFERROR(__xludf.DUMMYFUNCTION("IMPORTRANGE(""https://docs.google.com/spreadsheets/d/1SX6NBoVAgQJ6U1MVXOaj8PK2l7WJ3RER9xtqwdhxkhw/edit?usp=sharing"",""ชัยนาท!J99"")"),0.0)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IFERROR(__xludf.DUMMYFUNCTION("IMPORTRANGE(""https://docs.google.com/spreadsheets/d/1SX6NBoVAgQJ6U1MVXOaj8PK2l7WJ3RER9xtqwdhxkhw/edit?usp=sharing"",""ชัยนาท!J100"")"),0.0)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IFERROR(__xludf.DUMMYFUNCTION("IMPORTRANGE(""https://docs.google.com/spreadsheets/d/1SX6NBoVAgQJ6U1MVXOaj8PK2l7WJ3RER9xtqwdhxkhw/edit?usp=sharing"",""ชัยนาท!I101"")"),0.0)</f>
        <v>0</v>
      </c>
      <c r="J176" s="317">
        <f>IFERROR(__xludf.DUMMYFUNCTION("IMPORTRANGE(""https://docs.google.com/spreadsheets/d/1SX6NBoVAgQJ6U1MVXOaj8PK2l7WJ3RER9xtqwdhxkhw/edit?usp=sharing"",""ชัยนาท!J101"")"),0.0)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IFERROR(__xludf.DUMMYFUNCTION("IMPORTRANGE(""https://docs.google.com/spreadsheets/d/1SX6NBoVAgQJ6U1MVXOaj8PK2l7WJ3RER9xtqwdhxkhw/edit?usp=sharing"",""ชัยนาท!J106"")"),0.0)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IFERROR(__xludf.DUMMYFUNCTION("IMPORTRANGE(""https://docs.google.com/spreadsheets/d/1SX6NBoVAgQJ6U1MVXOaj8PK2l7WJ3RER9xtqwdhxkhw/edit?usp=sharing"",""ชัยนาท!J107"")"),0.0)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IFERROR(__xludf.DUMMYFUNCTION("IMPORTRANGE(""https://docs.google.com/spreadsheets/d/1SX6NBoVAgQJ6U1MVXOaj8PK2l7WJ3RER9xtqwdhxkhw/edit?usp=sharing"",""ชัยนาท!J108"")"),0.0)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IFERROR(__xludf.DUMMYFUNCTION("IMPORTRANGE(""https://docs.google.com/spreadsheets/d/1SX6NBoVAgQJ6U1MVXOaj8PK2l7WJ3RER9xtqwdhxkhw/edit?usp=sharing"",""ชัยนาท!J109"")"),0.0)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IFERROR(__xludf.DUMMYFUNCTION("IMPORTRANGE(""https://docs.google.com/spreadsheets/d/1SX6NBoVAgQJ6U1MVXOaj8PK2l7WJ3RER9xtqwdhxkhw/edit?usp=sharing"",""ชัยนาท!I110"")"),0.0)</f>
        <v>0</v>
      </c>
      <c r="J185" s="238">
        <f>IFERROR(__xludf.DUMMYFUNCTION("IMPORTRANGE(""https://docs.google.com/spreadsheets/d/1SX6NBoVAgQJ6U1MVXOaj8PK2l7WJ3RER9xtqwdhxkhw/edit?usp=sharing"",""ชัยนาท!J110"")"),0.0)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IFERROR(__xludf.DUMMYFUNCTION("IMPORTRANGE(""https://docs.google.com/spreadsheets/d/1SX6NBoVAgQJ6U1MVXOaj8PK2l7WJ3RER9xtqwdhxkhw/edit?usp=sharing"",""ชัยนาท!I111"")"),0.0)</f>
        <v>0</v>
      </c>
      <c r="J186" s="238">
        <f>IFERROR(__xludf.DUMMYFUNCTION("IMPORTRANGE(""https://docs.google.com/spreadsheets/d/1SX6NBoVAgQJ6U1MVXOaj8PK2l7WJ3RER9xtqwdhxkhw/edit?usp=sharing"",""ชัยนาท!J111"")"),0.0)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IFERROR(__xludf.DUMMYFUNCTION("IMPORTRANGE(""https://docs.google.com/spreadsheets/d/1SX6NBoVAgQJ6U1MVXOaj8PK2l7WJ3RER9xtqwdhxkhw/edit?usp=sharing"",""ชัยนาท!J112"")"),0.0)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IFERROR(__xludf.DUMMYFUNCTION("IMPORTRANGE(""https://docs.google.com/spreadsheets/d/1SX6NBoVAgQJ6U1MVXOaj8PK2l7WJ3RER9xtqwdhxkhw/edit?usp=sharing"",""ชัยนาท!J113"")"),0.0)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IFERROR(__xludf.DUMMYFUNCTION("IMPORTRANGE(""https://docs.google.com/spreadsheets/d/1SX6NBoVAgQJ6U1MVXOaj8PK2l7WJ3RER9xtqwdhxkhw/edit?usp=sharing"",""ชัยนาท!I114"")"),12800.0)</f>
        <v>12800</v>
      </c>
      <c r="J189" s="317">
        <f>IFERROR(__xludf.DUMMYFUNCTION("IMPORTRANGE(""https://docs.google.com/spreadsheets/d/1SX6NBoVAgQJ6U1MVXOaj8PK2l7WJ3RER9xtqwdhxkhw/edit?usp=sharing"",""ชัยนาท!J114"")"),0.0)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IFERROR(__xludf.DUMMYFUNCTION("IMPORTRANGE(""https://docs.google.com/spreadsheets/d/1SX6NBoVAgQJ6U1MVXOaj8PK2l7WJ3RER9xtqwdhxkhw/edit?usp=sharing"",""ชัยนาท!J119"")"),0.0)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IFERROR(__xludf.DUMMYFUNCTION("IMPORTRANGE(""https://docs.google.com/spreadsheets/d/1SX6NBoVAgQJ6U1MVXOaj8PK2l7WJ3RER9xtqwdhxkhw/edit?usp=sharing"",""ชัยนาท!J120"")"),1.0)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IFERROR(__xludf.DUMMYFUNCTION("IMPORTRANGE(""https://docs.google.com/spreadsheets/d/1SX6NBoVAgQJ6U1MVXOaj8PK2l7WJ3RER9xtqwdhxkhw/edit?usp=sharing"",""ชัยนาท!J121"")"),1.0)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IFERROR(__xludf.DUMMYFUNCTION("IMPORTRANGE(""https://docs.google.com/spreadsheets/d/1SX6NBoVAgQJ6U1MVXOaj8PK2l7WJ3RER9xtqwdhxkhw/edit?usp=sharing"",""ชัยนาท!J122"")"),0.0)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IFERROR(__xludf.DUMMYFUNCTION("IMPORTRANGE(""https://docs.google.com/spreadsheets/d/1SX6NBoVAgQJ6U1MVXOaj8PK2l7WJ3RER9xtqwdhxkhw/edit?usp=sharing"",""ชัยนาท!I124"")"),12800.0)</f>
        <v>12800</v>
      </c>
      <c r="J199" s="223">
        <f>IFERROR(__xludf.DUMMYFUNCTION("IMPORTRANGE(""https://docs.google.com/spreadsheets/d/1SX6NBoVAgQJ6U1MVXOaj8PK2l7WJ3RER9xtqwdhxkhw/edit?usp=sharing"",""ชัยนาท!J124"")"),0.0)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IFERROR(__xludf.DUMMYFUNCTION("IMPORTRANGE(""https://docs.google.com/spreadsheets/d/1SX6NBoVAgQJ6U1MVXOaj8PK2l7WJ3RER9xtqwdhxkhw/edit?usp=sharing"",""ชัยนาท!I125"")"),12800.0)</f>
        <v>12800</v>
      </c>
      <c r="J200" s="223">
        <f>IFERROR(__xludf.DUMMYFUNCTION("IMPORTRANGE(""https://docs.google.com/spreadsheets/d/1SX6NBoVAgQJ6U1MVXOaj8PK2l7WJ3RER9xtqwdhxkhw/edit?usp=sharing"",""ชัยนาท!J125"")"),0.0)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IFERROR(__xludf.DUMMYFUNCTION("IMPORTRANGE(""https://docs.google.com/spreadsheets/d/1SX6NBoVAgQJ6U1MVXOaj8PK2l7WJ3RER9xtqwdhxkhw/edit?usp=sharing"",""ชัยนาท!I126"")"),15.0)</f>
        <v>15</v>
      </c>
      <c r="J201" s="223">
        <f>IFERROR(__xludf.DUMMYFUNCTION("IMPORTRANGE(""https://docs.google.com/spreadsheets/d/1SX6NBoVAgQJ6U1MVXOaj8PK2l7WJ3RER9xtqwdhxkhw/edit?usp=sharing"",""ชัยนาท!J126"")"),15.0)</f>
        <v>15</v>
      </c>
      <c r="K201" s="196">
        <f t="shared" si="71"/>
        <v>100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IFERROR(__xludf.DUMMYFUNCTION("IMPORTRANGE(""https://docs.google.com/spreadsheets/d/1SX6NBoVAgQJ6U1MVXOaj8PK2l7WJ3RER9xtqwdhxkhw/edit?usp=sharing"",""ชัยนาท!J127"")"),0.0)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IFERROR(__xludf.DUMMYFUNCTION("IMPORTRANGE(""https://docs.google.com/spreadsheets/d/1SX6NBoVAgQJ6U1MVXOaj8PK2l7WJ3RER9xtqwdhxkhw/edit?usp=sharing"",""ชัยนาท!J128"")"),0.0)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IFERROR(__xludf.DUMMYFUNCTION("IMPORTRANGE(""https://docs.google.com/spreadsheets/d/1SX6NBoVAgQJ6U1MVXOaj8PK2l7WJ3RER9xtqwdhxkhw/edit?usp=sharing"",""ชัยนาท!I129"")"),0.0)</f>
        <v>0</v>
      </c>
      <c r="J204" s="317">
        <f>IFERROR(__xludf.DUMMYFUNCTION("IMPORTRANGE(""https://docs.google.com/spreadsheets/d/1SX6NBoVAgQJ6U1MVXOaj8PK2l7WJ3RER9xtqwdhxkhw/edit?usp=sharing"",""ชัยนาท!J129"")"),0.0)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IFERROR(__xludf.DUMMYFUNCTION("IMPORTRANGE(""https://docs.google.com/spreadsheets/d/1SX6NBoVAgQJ6U1MVXOaj8PK2l7WJ3RER9xtqwdhxkhw/edit?usp=sharing"",""ชัยนาท!J134"")"),0.0)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IFERROR(__xludf.DUMMYFUNCTION("IMPORTRANGE(""https://docs.google.com/spreadsheets/d/1SX6NBoVAgQJ6U1MVXOaj8PK2l7WJ3RER9xtqwdhxkhw/edit?usp=sharing"",""ชัยนาท!J135"")"),0.0)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IFERROR(__xludf.DUMMYFUNCTION("IMPORTRANGE(""https://docs.google.com/spreadsheets/d/1SX6NBoVAgQJ6U1MVXOaj8PK2l7WJ3RER9xtqwdhxkhw/edit?usp=sharing"",""ชัยนาท!J136"")"),0.0)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IFERROR(__xludf.DUMMYFUNCTION("IMPORTRANGE(""https://docs.google.com/spreadsheets/d/1SX6NBoVAgQJ6U1MVXOaj8PK2l7WJ3RER9xtqwdhxkhw/edit?usp=sharing"",""ชัยนาท!J137"")"),0.0)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IFERROR(__xludf.DUMMYFUNCTION("IMPORTRANGE(""https://docs.google.com/spreadsheets/d/1SX6NBoVAgQJ6U1MVXOaj8PK2l7WJ3RER9xtqwdhxkhw/edit?usp=sharing"",""ชัยนาท!I138"")"),0.0)</f>
        <v>0</v>
      </c>
      <c r="J213" s="238">
        <f>IFERROR(__xludf.DUMMYFUNCTION("IMPORTRANGE(""https://docs.google.com/spreadsheets/d/1SX6NBoVAgQJ6U1MVXOaj8PK2l7WJ3RER9xtqwdhxkhw/edit?usp=sharing"",""ชัยนาท!J138"")"),0.0)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IFERROR(__xludf.DUMMYFUNCTION("IMPORTRANGE(""https://docs.google.com/spreadsheets/d/1SX6NBoVAgQJ6U1MVXOaj8PK2l7WJ3RER9xtqwdhxkhw/edit?usp=sharing"",""ชัยนาท!I140"")"),0.0)</f>
        <v>0</v>
      </c>
      <c r="J215" s="238">
        <f>IFERROR(__xludf.DUMMYFUNCTION("IMPORTRANGE(""https://docs.google.com/spreadsheets/d/1SX6NBoVAgQJ6U1MVXOaj8PK2l7WJ3RER9xtqwdhxkhw/edit?usp=sharing"",""ชัยนาท!J140"")"),0.0)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IFERROR(__xludf.DUMMYFUNCTION("IMPORTRANGE(""https://docs.google.com/spreadsheets/d/1SX6NBoVAgQJ6U1MVXOaj8PK2l7WJ3RER9xtqwdhxkhw/edit?usp=sharing"",""ชัยนาท!I141"")"),0.0)</f>
        <v>0</v>
      </c>
      <c r="J216" s="238">
        <f>IFERROR(__xludf.DUMMYFUNCTION("IMPORTRANGE(""https://docs.google.com/spreadsheets/d/1SX6NBoVAgQJ6U1MVXOaj8PK2l7WJ3RER9xtqwdhxkhw/edit?usp=sharing"",""ชัยนาท!J141"")"),0.0)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IFERROR(__xludf.DUMMYFUNCTION("IMPORTRANGE(""https://docs.google.com/spreadsheets/d/1SX6NBoVAgQJ6U1MVXOaj8PK2l7WJ3RER9xtqwdhxkhw/edit?usp=sharing"",""ชัยนาท!J142"")"),0.0)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IFERROR(__xludf.DUMMYFUNCTION("IMPORTRANGE(""https://docs.google.com/spreadsheets/d/1SX6NBoVAgQJ6U1MVXOaj8PK2l7WJ3RER9xtqwdhxkhw/edit?usp=sharing"",""ชัยนาท!J143"")"),0.0)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IFERROR(__xludf.DUMMYFUNCTION("IMPORTRANGE(""https://docs.google.com/spreadsheets/d/1SX6NBoVAgQJ6U1MVXOaj8PK2l7WJ3RER9xtqwdhxkhw/edit?usp=sharing"",""ชัยนาท!I144"")"),13.0)</f>
        <v>13</v>
      </c>
      <c r="J219" s="301">
        <f>IFERROR(__xludf.DUMMYFUNCTION("IMPORTRANGE(""https://docs.google.com/spreadsheets/d/1SX6NBoVAgQJ6U1MVXOaj8PK2l7WJ3RER9xtqwdhxkhw/edit?usp=sharing"",""ชัยนาท!J144"")"),0.0)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0">
        <f>IFERROR(__xludf.DUMMYFUNCTION("IMPORTRANGE(""https://docs.google.com/spreadsheets/d/1Yj_ptqi66GCucihVvJfMjLAmec39IyEx_6qawtMGysU/edit?usp=sharing"",""สบก!BS63"")"),19295.0)</f>
        <v>19295</v>
      </c>
      <c r="N224" s="203">
        <f>IFERROR(__xludf.DUMMYFUNCTION("IMPORTRANGE(""https://docs.google.com/spreadsheets/d/1Yj_ptqi66GCucihVvJfMjLAmec39IyEx_6qawtMGysU/edit?usp=sharing"",""สบก!BT63"")"),19295.0)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IFERROR(__xludf.DUMMYFUNCTION("IMPORTRANGE(""https://docs.google.com/spreadsheets/d/1Yj_ptqi66GCucihVvJfMjLAmec39IyEx_6qawtMGysU/edit?usp=sharing"",""สบก!BO63"")"),0.0)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IFERROR(__xludf.DUMMYFUNCTION("IMPORTRANGE(""https://docs.google.com/spreadsheets/d/1Yj_ptqi66GCucihVvJfMjLAmec39IyEx_6qawtMGysU/edit?usp=sharing"",""สบก!BP63"")"),19295.0)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IFERROR(__xludf.DUMMYFUNCTION("IMPORTRANGE(""https://docs.google.com/spreadsheets/d/1Yj_ptqi66GCucihVvJfMjLAmec39IyEx_6qawtMGysU/edit?usp=sharing"",""สบก!BQ63"")"),0.0)</f>
        <v>0</v>
      </c>
      <c r="M228" s="70"/>
      <c r="N228" s="70">
        <f>IFERROR(__xludf.DUMMYFUNCTION("IMPORTRANGE(""https://docs.google.com/spreadsheets/d/1Yj_ptqi66GCucihVvJfMjLAmec39IyEx_6qawtMGysU/edit?usp=sharing"",""สบก!BU63"")"),0.0)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IFERROR(__xludf.DUMMYFUNCTION("IMPORTRANGE(""https://docs.google.com/spreadsheets/d/1SX6NBoVAgQJ6U1MVXOaj8PK2l7WJ3RER9xtqwdhxkhw/edit?usp=sharing"",""ชัยนาท!I149"")"),13.0)</f>
        <v>13</v>
      </c>
      <c r="J229" s="301">
        <f>IFERROR(__xludf.DUMMYFUNCTION("IMPORTRANGE(""https://docs.google.com/spreadsheets/d/1SX6NBoVAgQJ6U1MVXOaj8PK2l7WJ3RER9xtqwdhxkhw/edit?usp=sharing"",""ชัยนาท!J149"")"),0.0)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IFERROR(__xludf.DUMMYFUNCTION("IMPORTRANGE(""https://docs.google.com/spreadsheets/d/1SX6NBoVAgQJ6U1MVXOaj8PK2l7WJ3RER9xtqwdhxkhw/edit?usp=sharing"",""ชัยนาท!J151"")"),0.0)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IFERROR(__xludf.DUMMYFUNCTION("IMPORTRANGE(""https://docs.google.com/spreadsheets/d/1SX6NBoVAgQJ6U1MVXOaj8PK2l7WJ3RER9xtqwdhxkhw/edit?usp=sharing"",""ชัยนาท!J152"")"),1.0)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IFERROR(__xludf.DUMMYFUNCTION("IMPORTRANGE(""https://docs.google.com/spreadsheets/d/1SX6NBoVAgQJ6U1MVXOaj8PK2l7WJ3RER9xtqwdhxkhw/edit?usp=sharing"",""ชัยนาท!J153"")"),1.0)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IFERROR(__xludf.DUMMYFUNCTION("IMPORTRANGE(""https://docs.google.com/spreadsheets/d/1SX6NBoVAgQJ6U1MVXOaj8PK2l7WJ3RER9xtqwdhxkhw/edit?usp=sharing"",""ชัยนาท!J154"")"),0.0)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IFERROR(__xludf.DUMMYFUNCTION("IMPORTRANGE(""https://docs.google.com/spreadsheets/d/1SX6NBoVAgQJ6U1MVXOaj8PK2l7WJ3RER9xtqwdhxkhw/edit?usp=sharing"",""ชัยนาท!I155"")"),13.0)</f>
        <v>13</v>
      </c>
      <c r="J235" s="223">
        <f>IFERROR(__xludf.DUMMYFUNCTION("IMPORTRANGE(""https://docs.google.com/spreadsheets/d/1SX6NBoVAgQJ6U1MVXOaj8PK2l7WJ3RER9xtqwdhxkhw/edit?usp=sharing"",""ชัยนาท!J155"")"),0.0)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IFERROR(__xludf.DUMMYFUNCTION("IMPORTRANGE(""https://docs.google.com/spreadsheets/d/1SX6NBoVAgQJ6U1MVXOaj8PK2l7WJ3RER9xtqwdhxkhw/edit?usp=sharing"",""ชัยนาท!J156"")"),0.0)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IFERROR(__xludf.DUMMYFUNCTION("IMPORTRANGE(""https://docs.google.com/spreadsheets/d/1SX6NBoVAgQJ6U1MVXOaj8PK2l7WJ3RER9xtqwdhxkhw/edit?usp=sharing"",""ชัยนาท!J157"")"),0.0)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IFERROR(__xludf.DUMMYFUNCTION("IMPORTRANGE(""https://docs.google.com/spreadsheets/d/1SX6NBoVAgQJ6U1MVXOaj8PK2l7WJ3RER9xtqwdhxkhw/edit?usp=sharing"",""ชัยนาท!I158"")"),0.0)</f>
        <v>0</v>
      </c>
      <c r="J238" s="301">
        <f>IFERROR(__xludf.DUMMYFUNCTION("IMPORTRANGE(""https://docs.google.com/spreadsheets/d/1SX6NBoVAgQJ6U1MVXOaj8PK2l7WJ3RER9xtqwdhxkhw/edit?usp=sharing"",""ชัยนาท!J158"")"),0.0)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IFERROR(__xludf.DUMMYFUNCTION("IMPORTRANGE(""https://docs.google.com/spreadsheets/d/1SX6NBoVAgQJ6U1MVXOaj8PK2l7WJ3RER9xtqwdhxkhw/edit?usp=sharing"",""ชัยนาท!J159"")"),"")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IFERROR(__xludf.DUMMYFUNCTION("IMPORTRANGE(""https://docs.google.com/spreadsheets/d/1SX6NBoVAgQJ6U1MVXOaj8PK2l7WJ3RER9xtqwdhxkhw/edit?usp=sharing"",""ชัยนาท!J161"")"),0.0)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IFERROR(__xludf.DUMMYFUNCTION("IMPORTRANGE(""https://docs.google.com/spreadsheets/d/1SX6NBoVAgQJ6U1MVXOaj8PK2l7WJ3RER9xtqwdhxkhw/edit?usp=sharing"",""ชัยนาท!J162"")"),0.0)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IFERROR(__xludf.DUMMYFUNCTION("IMPORTRANGE(""https://docs.google.com/spreadsheets/d/1SX6NBoVAgQJ6U1MVXOaj8PK2l7WJ3RER9xtqwdhxkhw/edit?usp=sharing"",""ชัยนาท!J163"")"),0.0)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IFERROR(__xludf.DUMMYFUNCTION("IMPORTRANGE(""https://docs.google.com/spreadsheets/d/1SX6NBoVAgQJ6U1MVXOaj8PK2l7WJ3RER9xtqwdhxkhw/edit?usp=sharing"",""ชัยนาท!I164"")"),0.0)</f>
        <v>0</v>
      </c>
      <c r="J244" s="222">
        <f>IFERROR(__xludf.DUMMYFUNCTION("IMPORTRANGE(""https://docs.google.com/spreadsheets/d/1SX6NBoVAgQJ6U1MVXOaj8PK2l7WJ3RER9xtqwdhxkhw/edit?usp=sharing"",""ชัยนาท!J164"")"),0.0)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IFERROR(__xludf.DUMMYFUNCTION("IMPORTRANGE(""https://docs.google.com/spreadsheets/d/1SX6NBoVAgQJ6U1MVXOaj8PK2l7WJ3RER9xtqwdhxkhw/edit?usp=sharing"",""ชัยนาท!J165"")"),0.0)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IFERROR(__xludf.DUMMYFUNCTION("IMPORTRANGE(""https://docs.google.com/spreadsheets/d/1SX6NBoVAgQJ6U1MVXOaj8PK2l7WJ3RER9xtqwdhxkhw/edit?usp=sharing"",""ชัยนาท!J166"")"),0.0)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IFERROR(__xludf.DUMMYFUNCTION("IMPORTRANGE(""https://docs.google.com/spreadsheets/d/1SX6NBoVAgQJ6U1MVXOaj8PK2l7WJ3RER9xtqwdhxkhw/edit?usp=sharing"",""ชัยนาท!I169"")"),20.0)</f>
        <v>20</v>
      </c>
      <c r="J249" s="349">
        <f>IFERROR(__xludf.DUMMYFUNCTION("IMPORTRANGE(""https://docs.google.com/spreadsheets/d/1SX6NBoVAgQJ6U1MVXOaj8PK2l7WJ3RER9xtqwdhxkhw/edit?usp=sharing"",""ชัยนาท!J169"")"),0.0)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4000</v>
      </c>
      <c r="O250" s="182">
        <f t="shared" ref="O250:O252" si="80">IF(L250&gt;0,N250*100/L250,0)</f>
        <v>5.602240896</v>
      </c>
      <c r="P250" s="182">
        <f t="shared" ref="P250:P252" si="81">IF(M250&gt;0,N250*100/M250,0)</f>
        <v>10.81081081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4000</v>
      </c>
      <c r="O252" s="187">
        <f t="shared" si="80"/>
        <v>5.602240896</v>
      </c>
      <c r="P252" s="187">
        <f t="shared" si="81"/>
        <v>10.81081081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0">
        <f>IFERROR(__xludf.DUMMYFUNCTION("IMPORTRANGE(""https://docs.google.com/spreadsheets/d/1Yj_ptqi66GCucihVvJfMjLAmec39IyEx_6qawtMGysU/edit?usp=sharing"",""สบก!CB63"")"),37000.0)</f>
        <v>37000</v>
      </c>
      <c r="N254" s="203">
        <f>IFERROR(__xludf.DUMMYFUNCTION("IMPORTRANGE(""https://docs.google.com/spreadsheets/d/1Yj_ptqi66GCucihVvJfMjLAmec39IyEx_6qawtMGysU/edit?usp=sharing"",""สบก!CC63"")"),4000.0)</f>
        <v>4000</v>
      </c>
      <c r="O254" s="203">
        <f>IF(L254&gt;0,N254*100/L254,0)</f>
        <v>5.602240896</v>
      </c>
      <c r="P254" s="203">
        <f>IF(M254&gt;0,N254*100/M254,0)</f>
        <v>10.81081081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IFERROR(__xludf.DUMMYFUNCTION("IMPORTRANGE(""https://docs.google.com/spreadsheets/d/1Yj_ptqi66GCucihVvJfMjLAmec39IyEx_6qawtMGysU/edit?usp=sharing"",""สบก!BX63"")"),0.0)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IFERROR(__xludf.DUMMYFUNCTION("IMPORTRANGE(""https://docs.google.com/spreadsheets/d/1Yj_ptqi66GCucihVvJfMjLAmec39IyEx_6qawtMGysU/edit?usp=sharing"",""สบก!BY63"")"),71400.0)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IFERROR(__xludf.DUMMYFUNCTION("IMPORTRANGE(""https://docs.google.com/spreadsheets/d/1Yj_ptqi66GCucihVvJfMjLAmec39IyEx_6qawtMGysU/edit?usp=sharing"",""สบก!BZ63"")"),0.0)</f>
        <v>0</v>
      </c>
      <c r="M258" s="70"/>
      <c r="N258" s="70">
        <f>IFERROR(__xludf.DUMMYFUNCTION("IMPORTRANGE(""https://docs.google.com/spreadsheets/d/1Yj_ptqi66GCucihVvJfMjLAmec39IyEx_6qawtMGysU/edit?usp=sharing"",""สบก!CD63"")"),0.0)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IFERROR(__xludf.DUMMYFUNCTION("IMPORTRANGE(""https://docs.google.com/spreadsheets/d/1SX6NBoVAgQJ6U1MVXOaj8PK2l7WJ3RER9xtqwdhxkhw/edit?usp=sharing"",""ชัยนาท!J175"")"),1.0)</f>
        <v>1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IFERROR(__xludf.DUMMYFUNCTION("IMPORTRANGE(""https://docs.google.com/spreadsheets/d/1SX6NBoVAgQJ6U1MVXOaj8PK2l7WJ3RER9xtqwdhxkhw/edit?usp=sharing"",""ชัยนาท!J176"")"),0.0)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IFERROR(__xludf.DUMMYFUNCTION("IMPORTRANGE(""https://docs.google.com/spreadsheets/d/1SX6NBoVAgQJ6U1MVXOaj8PK2l7WJ3RER9xtqwdhxkhw/edit?usp=sharing"",""ชัยนาท!J177"")"),0.0)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IFERROR(__xludf.DUMMYFUNCTION("IMPORTRANGE(""https://docs.google.com/spreadsheets/d/1SX6NBoVAgQJ6U1MVXOaj8PK2l7WJ3RER9xtqwdhxkhw/edit?usp=sharing"",""ชัยนาท!J178"")"),0.0)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IFERROR(__xludf.DUMMYFUNCTION("IMPORTRANGE(""https://docs.google.com/spreadsheets/d/1SX6NBoVAgQJ6U1MVXOaj8PK2l7WJ3RER9xtqwdhxkhw/edit?usp=sharing"",""ชัยนาท!I179"")"),1.0)</f>
        <v>1</v>
      </c>
      <c r="J264" s="223">
        <f>IFERROR(__xludf.DUMMYFUNCTION("IMPORTRANGE(""https://docs.google.com/spreadsheets/d/1SX6NBoVAgQJ6U1MVXOaj8PK2l7WJ3RER9xtqwdhxkhw/edit?usp=sharing"",""ชัยนาท!J179"")"),0.0)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IFERROR(__xludf.DUMMYFUNCTION("IMPORTRANGE(""https://docs.google.com/spreadsheets/d/1SX6NBoVAgQJ6U1MVXOaj8PK2l7WJ3RER9xtqwdhxkhw/edit?usp=sharing"",""ชัยนาท!I180"")"),20.0)</f>
        <v>20</v>
      </c>
      <c r="J265" s="223">
        <f>IFERROR(__xludf.DUMMYFUNCTION("IMPORTRANGE(""https://docs.google.com/spreadsheets/d/1SX6NBoVAgQJ6U1MVXOaj8PK2l7WJ3RER9xtqwdhxkhw/edit?usp=sharing"",""ชัยนาท!J180"")"),0.0)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IFERROR(__xludf.DUMMYFUNCTION("IMPORTRANGE(""https://docs.google.com/spreadsheets/d/1SX6NBoVAgQJ6U1MVXOaj8PK2l7WJ3RER9xtqwdhxkhw/edit?usp=sharing"",""ชัยนาท!I181"")"),20.0)</f>
        <v>20</v>
      </c>
      <c r="J266" s="223">
        <f>IFERROR(__xludf.DUMMYFUNCTION("IMPORTRANGE(""https://docs.google.com/spreadsheets/d/1SX6NBoVAgQJ6U1MVXOaj8PK2l7WJ3RER9xtqwdhxkhw/edit?usp=sharing"",""ชัยนาท!J181"")"),0.0)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IFERROR(__xludf.DUMMYFUNCTION("IMPORTRANGE(""https://docs.google.com/spreadsheets/d/1SX6NBoVAgQJ6U1MVXOaj8PK2l7WJ3RER9xtqwdhxkhw/edit?usp=sharing"",""ชัยนาท!I182"")"),1.0)</f>
        <v>1</v>
      </c>
      <c r="J267" s="223">
        <f>IFERROR(__xludf.DUMMYFUNCTION("IMPORTRANGE(""https://docs.google.com/spreadsheets/d/1SX6NBoVAgQJ6U1MVXOaj8PK2l7WJ3RER9xtqwdhxkhw/edit?usp=sharing"",""ชัยนาท!J182"")"),0.0)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IFERROR(__xludf.DUMMYFUNCTION("IMPORTRANGE(""https://docs.google.com/spreadsheets/d/1SX6NBoVAgQJ6U1MVXOaj8PK2l7WJ3RER9xtqwdhxkhw/edit?usp=sharing"",""ชัยนาท!J183"")"),0.0)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IFERROR(__xludf.DUMMYFUNCTION("IMPORTRANGE(""https://docs.google.com/spreadsheets/d/1SX6NBoVAgQJ6U1MVXOaj8PK2l7WJ3RER9xtqwdhxkhw/edit?usp=sharing"",""ชัยนาท!J184"")"),0.0)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IFERROR(__xludf.DUMMYFUNCTION("IMPORTRANGE(""https://docs.google.com/spreadsheets/d/1SX6NBoVAgQJ6U1MVXOaj8PK2l7WJ3RER9xtqwdhxkhw/edit?usp=sharing"",""ชัยนาท!I185"")"),15.0)</f>
        <v>15</v>
      </c>
      <c r="J270" s="349">
        <f>IFERROR(__xludf.DUMMYFUNCTION("IMPORTRANGE(""https://docs.google.com/spreadsheets/d/1SX6NBoVAgQJ6U1MVXOaj8PK2l7WJ3RER9xtqwdhxkhw/edit?usp=sharing"",""ชัยนาท!J185"")"),0.0)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165200</v>
      </c>
      <c r="M271" s="183">
        <f t="shared" si="84"/>
        <v>87250</v>
      </c>
      <c r="N271" s="183">
        <f t="shared" si="84"/>
        <v>18000</v>
      </c>
      <c r="O271" s="182">
        <f t="shared" ref="O271:O273" si="86">IF(L271&gt;0,N271*100/L271,0)</f>
        <v>10.89588378</v>
      </c>
      <c r="P271" s="182">
        <f t="shared" ref="P271:P273" si="87">IF(M271&gt;0,N271*100/M271,0)</f>
        <v>20.63037249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165200</v>
      </c>
      <c r="M273" s="188">
        <f t="shared" si="88"/>
        <v>87250</v>
      </c>
      <c r="N273" s="188">
        <f t="shared" si="88"/>
        <v>18000</v>
      </c>
      <c r="O273" s="187">
        <f t="shared" si="86"/>
        <v>10.89588378</v>
      </c>
      <c r="P273" s="187">
        <f t="shared" si="87"/>
        <v>20.63037249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165200</v>
      </c>
      <c r="M275" s="200">
        <f>IFERROR(__xludf.DUMMYFUNCTION("IMPORTRANGE(""https://docs.google.com/spreadsheets/d/1Yj_ptqi66GCucihVvJfMjLAmec39IyEx_6qawtMGysU/edit?usp=sharing"",""สบก!CK63"")"),87250.0)</f>
        <v>87250</v>
      </c>
      <c r="N275" s="203">
        <f>IFERROR(__xludf.DUMMYFUNCTION("IMPORTRANGE(""https://docs.google.com/spreadsheets/d/1Yj_ptqi66GCucihVvJfMjLAmec39IyEx_6qawtMGysU/edit?usp=sharing"",""สบก!CL63"")"),18000.0)</f>
        <v>18000</v>
      </c>
      <c r="O275" s="203">
        <f>IF(L275&gt;0,N275*100/L275,0)</f>
        <v>10.89588378</v>
      </c>
      <c r="P275" s="203">
        <f>IF(M275&gt;0,N275*100/M275,0)</f>
        <v>20.63037249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IFERROR(__xludf.DUMMYFUNCTION("IMPORTRANGE(""https://docs.google.com/spreadsheets/d/1Yj_ptqi66GCucihVvJfMjLAmec39IyEx_6qawtMGysU/edit?usp=sharing"",""สบก!CG63"")"),0.0)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IFERROR(__xludf.DUMMYFUNCTION("IMPORTRANGE(""https://docs.google.com/spreadsheets/d/1Yj_ptqi66GCucihVvJfMjLAmec39IyEx_6qawtMGysU/edit?usp=sharing"",""สบก!CH63"")"),165200.0)</f>
        <v>165200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IFERROR(__xludf.DUMMYFUNCTION("IMPORTRANGE(""https://docs.google.com/spreadsheets/d/1Yj_ptqi66GCucihVvJfMjLAmec39IyEx_6qawtMGysU/edit?usp=sharing"",""สบก!CI63"")"),0.0)</f>
        <v>0</v>
      </c>
      <c r="M279" s="70"/>
      <c r="N279" s="70">
        <f>IFERROR(__xludf.DUMMYFUNCTION("IMPORTRANGE(""https://docs.google.com/spreadsheets/d/1Yj_ptqi66GCucihVvJfMjLAmec39IyEx_6qawtMGysU/edit?usp=sharing"",""สบก!CM63"")"),0.0)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IFERROR(__xludf.DUMMYFUNCTION("IMPORTRANGE(""https://docs.google.com/spreadsheets/d/1SX6NBoVAgQJ6U1MVXOaj8PK2l7WJ3RER9xtqwdhxkhw/edit?usp=sharing"",""ชัยนาท!J191"")"),1.0)</f>
        <v>1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IFERROR(__xludf.DUMMYFUNCTION("IMPORTRANGE(""https://docs.google.com/spreadsheets/d/1SX6NBoVAgQJ6U1MVXOaj8PK2l7WJ3RER9xtqwdhxkhw/edit?usp=sharing"",""ชัยนาท!J192"")"),0.0)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IFERROR(__xludf.DUMMYFUNCTION("IMPORTRANGE(""https://docs.google.com/spreadsheets/d/1SX6NBoVAgQJ6U1MVXOaj8PK2l7WJ3RER9xtqwdhxkhw/edit?usp=sharing"",""ชัยนาท!J193"")"),0.0)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IFERROR(__xludf.DUMMYFUNCTION("IMPORTRANGE(""https://docs.google.com/spreadsheets/d/1SX6NBoVAgQJ6U1MVXOaj8PK2l7WJ3RER9xtqwdhxkhw/edit?usp=sharing"",""ชัยนาท!J194"")"),0.0)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IFERROR(__xludf.DUMMYFUNCTION("IMPORTRANGE(""https://docs.google.com/spreadsheets/d/1SX6NBoVAgQJ6U1MVXOaj8PK2l7WJ3RER9xtqwdhxkhw/edit?usp=sharing"",""ชัยนาท!I195"")"),15.0)</f>
        <v>15</v>
      </c>
      <c r="J285" s="223">
        <f>IFERROR(__xludf.DUMMYFUNCTION("IMPORTRANGE(""https://docs.google.com/spreadsheets/d/1SX6NBoVAgQJ6U1MVXOaj8PK2l7WJ3RER9xtqwdhxkhw/edit?usp=sharing"",""ชัยนาท!J195"")"),0.0)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IFERROR(__xludf.DUMMYFUNCTION("IMPORTRANGE(""https://docs.google.com/spreadsheets/d/1SX6NBoVAgQJ6U1MVXOaj8PK2l7WJ3RER9xtqwdhxkhw/edit?usp=sharing"",""ชัยนาท!J196"")"),0.0)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IFERROR(__xludf.DUMMYFUNCTION("IMPORTRANGE(""https://docs.google.com/spreadsheets/d/1SX6NBoVAgQJ6U1MVXOaj8PK2l7WJ3RER9xtqwdhxkhw/edit?usp=sharing"",""ชัยนาท!J197"")"),0.0)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IFERROR(__xludf.DUMMYFUNCTION("IMPORTRANGE(""https://docs.google.com/spreadsheets/d/1SX6NBoVAgQJ6U1MVXOaj8PK2l7WJ3RER9xtqwdhxkhw/edit?usp=sharing"",""ชัยนาท!I199"")"),0.0)</f>
        <v>0</v>
      </c>
      <c r="J289" s="349">
        <f>IFERROR(__xludf.DUMMYFUNCTION("IMPORTRANGE(""https://docs.google.com/spreadsheets/d/1SX6NBoVAgQJ6U1MVXOaj8PK2l7WJ3RER9xtqwdhxkhw/edit?usp=sharing"",""ชัยนาท!J199"")"),0.0)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IFERROR(__xludf.DUMMYFUNCTION("IMPORTRANGE(""https://docs.google.com/spreadsheets/d/1Yj_ptqi66GCucihVvJfMjLAmec39IyEx_6qawtMGysU/edit?usp=sharing"",""สบก!CT63"")"),0.0)</f>
        <v>0</v>
      </c>
      <c r="N294" s="203">
        <f>IFERROR(__xludf.DUMMYFUNCTION("IMPORTRANGE(""https://docs.google.com/spreadsheets/d/1Yj_ptqi66GCucihVvJfMjLAmec39IyEx_6qawtMGysU/edit?usp=sharing"",""สบก!CU63"")"),0.0)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IFERROR(__xludf.DUMMYFUNCTION("IMPORTRANGE(""https://docs.google.com/spreadsheets/d/1Yj_ptqi66GCucihVvJfMjLAmec39IyEx_6qawtMGysU/edit?usp=sharing"",""สบก!CP63"")"),0.0)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IFERROR(__xludf.DUMMYFUNCTION("IMPORTRANGE(""https://docs.google.com/spreadsheets/d/1Yj_ptqi66GCucihVvJfMjLAmec39IyEx_6qawtMGysU/edit?usp=sharing"",""สบก!CQ63"")"),0.0)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IFERROR(__xludf.DUMMYFUNCTION("IMPORTRANGE(""https://docs.google.com/spreadsheets/d/1Yj_ptqi66GCucihVvJfMjLAmec39IyEx_6qawtMGysU/edit?usp=sharing"",""สบก!CR63"")"),0.0)</f>
        <v>0</v>
      </c>
      <c r="M298" s="70"/>
      <c r="N298" s="70">
        <f>IFERROR(__xludf.DUMMYFUNCTION("IMPORTRANGE(""https://docs.google.com/spreadsheets/d/1Yj_ptqi66GCucihVvJfMjLAmec39IyEx_6qawtMGysU/edit?usp=sharing"",""สบก!CV63"")"),0.0)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IFERROR(__xludf.DUMMYFUNCTION("IMPORTRANGE(""https://docs.google.com/spreadsheets/d/1SX6NBoVAgQJ6U1MVXOaj8PK2l7WJ3RER9xtqwdhxkhw/edit?usp=sharing"",""ชัยนาท!J205"")"),0.0)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IFERROR(__xludf.DUMMYFUNCTION("IMPORTRANGE(""https://docs.google.com/spreadsheets/d/1SX6NBoVAgQJ6U1MVXOaj8PK2l7WJ3RER9xtqwdhxkhw/edit?usp=sharing"",""ชัยนาท!J206"")"),0.0)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IFERROR(__xludf.DUMMYFUNCTION("IMPORTRANGE(""https://docs.google.com/spreadsheets/d/1SX6NBoVAgQJ6U1MVXOaj8PK2l7WJ3RER9xtqwdhxkhw/edit?usp=sharing"",""ชัยนาท!J207"")"),0.0)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IFERROR(__xludf.DUMMYFUNCTION("IMPORTRANGE(""https://docs.google.com/spreadsheets/d/1SX6NBoVAgQJ6U1MVXOaj8PK2l7WJ3RER9xtqwdhxkhw/edit?usp=sharing"",""ชัยนาท!J208"")"),0.0)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IFERROR(__xludf.DUMMYFUNCTION("IMPORTRANGE(""https://docs.google.com/spreadsheets/d/1SX6NBoVAgQJ6U1MVXOaj8PK2l7WJ3RER9xtqwdhxkhw/edit?usp=sharing"",""ชัยนาท!I209"")"),0.0)</f>
        <v>0</v>
      </c>
      <c r="J304" s="238">
        <f>IFERROR(__xludf.DUMMYFUNCTION("IMPORTRANGE(""https://docs.google.com/spreadsheets/d/1SX6NBoVAgQJ6U1MVXOaj8PK2l7WJ3RER9xtqwdhxkhw/edit?usp=sharing"",""ชัยนาท!J209"")"),0.0)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IFERROR(__xludf.DUMMYFUNCTION("IMPORTRANGE(""https://docs.google.com/spreadsheets/d/1SX6NBoVAgQJ6U1MVXOaj8PK2l7WJ3RER9xtqwdhxkhw/edit?usp=sharing"",""ชัยนาท!I211"")"),0.0)</f>
        <v>0</v>
      </c>
      <c r="J306" s="238">
        <f>IFERROR(__xludf.DUMMYFUNCTION("IMPORTRANGE(""https://docs.google.com/spreadsheets/d/1SX6NBoVAgQJ6U1MVXOaj8PK2l7WJ3RER9xtqwdhxkhw/edit?usp=sharing"",""ชัยนาท!J211"")"),0.0)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IFERROR(__xludf.DUMMYFUNCTION("IMPORTRANGE(""https://docs.google.com/spreadsheets/d/1SX6NBoVAgQJ6U1MVXOaj8PK2l7WJ3RER9xtqwdhxkhw/edit?usp=sharing"",""ชัยนาท!J212"")"),0.0)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IFERROR(__xludf.DUMMYFUNCTION("IMPORTRANGE(""https://docs.google.com/spreadsheets/d/1SX6NBoVAgQJ6U1MVXOaj8PK2l7WJ3RER9xtqwdhxkhw/edit?usp=sharing"",""ชัยนาท!J213"")"),0.0)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IFERROR(__xludf.DUMMYFUNCTION("IMPORTRANGE(""https://docs.google.com/spreadsheets/d/1SX6NBoVAgQJ6U1MVXOaj8PK2l7WJ3RER9xtqwdhxkhw/edit?usp=sharing"",""ชัยนาท!I214"")"),0.0)</f>
        <v>0</v>
      </c>
      <c r="J309" s="366">
        <f>IFERROR(__xludf.DUMMYFUNCTION("IMPORTRANGE(""https://docs.google.com/spreadsheets/d/1SX6NBoVAgQJ6U1MVXOaj8PK2l7WJ3RER9xtqwdhxkhw/edit?usp=sharing"",""ชัยนาท!J214"")"),0.0)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IFERROR(__xludf.DUMMYFUNCTION("IMPORTRANGE(""https://docs.google.com/spreadsheets/d/1Yj_ptqi66GCucihVvJfMjLAmec39IyEx_6qawtMGysU/edit?usp=sharing"",""สบก!DC63"")"),0.0)</f>
        <v>0</v>
      </c>
      <c r="N314" s="203">
        <f>IFERROR(__xludf.DUMMYFUNCTION("IMPORTRANGE(""https://docs.google.com/spreadsheets/d/1Yj_ptqi66GCucihVvJfMjLAmec39IyEx_6qawtMGysU/edit?usp=sharing"",""สบก!DD63"")"),0.0)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IFERROR(__xludf.DUMMYFUNCTION("IMPORTRANGE(""https://docs.google.com/spreadsheets/d/1Yj_ptqi66GCucihVvJfMjLAmec39IyEx_6qawtMGysU/edit?usp=sharing"",""สบก!CY63"")"),0.0)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IFERROR(__xludf.DUMMYFUNCTION("IMPORTRANGE(""https://docs.google.com/spreadsheets/d/1Yj_ptqi66GCucihVvJfMjLAmec39IyEx_6qawtMGysU/edit?usp=sharing"",""สบก!CZ63"")"),0.0)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IFERROR(__xludf.DUMMYFUNCTION("IMPORTRANGE(""https://docs.google.com/spreadsheets/d/1Yj_ptqi66GCucihVvJfMjLAmec39IyEx_6qawtMGysU/edit?usp=sharing"",""สบก!DA63"")"),0.0)</f>
        <v>0</v>
      </c>
      <c r="M318" s="70"/>
      <c r="N318" s="70">
        <f>IFERROR(__xludf.DUMMYFUNCTION("IMPORTRANGE(""https://docs.google.com/spreadsheets/d/1Yj_ptqi66GCucihVvJfMjLAmec39IyEx_6qawtMGysU/edit?usp=sharing"",""สบก!DE63"")"),0.0)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IFERROR(__xludf.DUMMYFUNCTION("IMPORTRANGE(""https://docs.google.com/spreadsheets/d/1SX6NBoVAgQJ6U1MVXOaj8PK2l7WJ3RER9xtqwdhxkhw/edit?usp=sharing"",""ชัยนาท!J220"")"),0.0)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IFERROR(__xludf.DUMMYFUNCTION("IMPORTRANGE(""https://docs.google.com/spreadsheets/d/1SX6NBoVAgQJ6U1MVXOaj8PK2l7WJ3RER9xtqwdhxkhw/edit?usp=sharing"",""ชัยนาท!J221"")"),0.0)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IFERROR(__xludf.DUMMYFUNCTION("IMPORTRANGE(""https://docs.google.com/spreadsheets/d/1SX6NBoVAgQJ6U1MVXOaj8PK2l7WJ3RER9xtqwdhxkhw/edit?usp=sharing"",""ชัยนาท!J222"")"),0.0)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IFERROR(__xludf.DUMMYFUNCTION("IMPORTRANGE(""https://docs.google.com/spreadsheets/d/1SX6NBoVAgQJ6U1MVXOaj8PK2l7WJ3RER9xtqwdhxkhw/edit?usp=sharing"",""ชัยนาท!J223"")"),0.0)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IFERROR(__xludf.DUMMYFUNCTION("IMPORTRANGE(""https://docs.google.com/spreadsheets/d/1SX6NBoVAgQJ6U1MVXOaj8PK2l7WJ3RER9xtqwdhxkhw/edit?usp=sharing"",""ชัยนาท!I224"")"),0.0)</f>
        <v>0</v>
      </c>
      <c r="J324" s="238">
        <f>IFERROR(__xludf.DUMMYFUNCTION("IMPORTRANGE(""https://docs.google.com/spreadsheets/d/1SX6NBoVAgQJ6U1MVXOaj8PK2l7WJ3RER9xtqwdhxkhw/edit?usp=sharing"",""ชัยนาท!J224"")"),0.0)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IFERROR(__xludf.DUMMYFUNCTION("IMPORTRANGE(""https://docs.google.com/spreadsheets/d/1SX6NBoVAgQJ6U1MVXOaj8PK2l7WJ3RER9xtqwdhxkhw/edit?usp=sharing"",""ชัยนาท!J225"")"),0.0)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IFERROR(__xludf.DUMMYFUNCTION("IMPORTRANGE(""https://docs.google.com/spreadsheets/d/1SX6NBoVAgQJ6U1MVXOaj8PK2l7WJ3RER9xtqwdhxkhw/edit?usp=sharing"",""ชัยนาท!J226"")"),0.0)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IFERROR(__xludf.DUMMYFUNCTION("IMPORTRANGE(""https://docs.google.com/spreadsheets/d/1SX6NBoVAgQJ6U1MVXOaj8PK2l7WJ3RER9xtqwdhxkhw/edit?usp=sharing"",""ชัยนาท!I228"")"),27.0)</f>
        <v>27</v>
      </c>
      <c r="J328" s="372">
        <f>IFERROR(__xludf.DUMMYFUNCTION("IMPORTRANGE(""https://docs.google.com/spreadsheets/d/1SX6NBoVAgQJ6U1MVXOaj8PK2l7WJ3RER9xtqwdhxkhw/edit?usp=sharing"",""ชัยนาท!J228"")"),8.0)</f>
        <v>8</v>
      </c>
      <c r="K328" s="350">
        <f>IF(I328&gt;0,J328*100/I328,0)</f>
        <v>29.62962963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655730</v>
      </c>
      <c r="M329" s="183">
        <f t="shared" si="99"/>
        <v>256930</v>
      </c>
      <c r="N329" s="183">
        <f t="shared" si="99"/>
        <v>257350</v>
      </c>
      <c r="O329" s="182">
        <f t="shared" ref="O329:O331" si="101">IF(L329&gt;0,N329*100/L329,0)</f>
        <v>39.24633614</v>
      </c>
      <c r="P329" s="182">
        <f t="shared" ref="P329:P331" si="102">IF(M329&gt;0,N329*100/M329,0)</f>
        <v>100.1634686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655730</v>
      </c>
      <c r="M331" s="188">
        <f t="shared" si="103"/>
        <v>256930</v>
      </c>
      <c r="N331" s="188">
        <f t="shared" si="103"/>
        <v>257350</v>
      </c>
      <c r="O331" s="187">
        <f t="shared" si="101"/>
        <v>39.24633614</v>
      </c>
      <c r="P331" s="187">
        <f t="shared" si="102"/>
        <v>100.1634686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508730</v>
      </c>
      <c r="M333" s="200">
        <f>IFERROR(__xludf.DUMMYFUNCTION("IMPORTRANGE(""https://docs.google.com/spreadsheets/d/1Yj_ptqi66GCucihVvJfMjLAmec39IyEx_6qawtMGysU/edit?usp=sharing"",""สบก!DL63"")"),256930.0)</f>
        <v>256930</v>
      </c>
      <c r="N333" s="203">
        <f>IFERROR(__xludf.DUMMYFUNCTION("IMPORTRANGE(""https://docs.google.com/spreadsheets/d/1Yj_ptqi66GCucihVvJfMjLAmec39IyEx_6qawtMGysU/edit?usp=sharing"",""สบก!DM63"")"),118350.0)</f>
        <v>118350</v>
      </c>
      <c r="O333" s="203">
        <f>IF(L333&gt;0,N333*100/L333,0)</f>
        <v>23.26381381</v>
      </c>
      <c r="P333" s="203">
        <f>IF(M333&gt;0,N333*100/M333,0)</f>
        <v>46.06313004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IFERROR(__xludf.DUMMYFUNCTION("IMPORTRANGE(""https://docs.google.com/spreadsheets/d/1Yj_ptqi66GCucihVvJfMjLAmec39IyEx_6qawtMGysU/edit?usp=sharing"",""สบก!DH63"")"),306000.0)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IFERROR(__xludf.DUMMYFUNCTION("IMPORTRANGE(""https://docs.google.com/spreadsheets/d/1Yj_ptqi66GCucihVvJfMjLAmec39IyEx_6qawtMGysU/edit?usp=sharing"",""สบก!DI63"")"),202730.0)</f>
        <v>202730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IFERROR(__xludf.DUMMYFUNCTION("IMPORTRANGE(""https://docs.google.com/spreadsheets/d/1Yj_ptqi66GCucihVvJfMjLAmec39IyEx_6qawtMGysU/edit?usp=sharing"",""สบก!DJ63"")"),147000.0)</f>
        <v>147000</v>
      </c>
      <c r="M337" s="70"/>
      <c r="N337" s="70">
        <f>IFERROR(__xludf.DUMMYFUNCTION("IMPORTRANGE(""https://docs.google.com/spreadsheets/d/1Yj_ptqi66GCucihVvJfMjLAmec39IyEx_6qawtMGysU/edit?usp=sharing"",""สบก!DN63"")"),139000.0)</f>
        <v>139000</v>
      </c>
      <c r="O337" s="70">
        <f>IF(L337&gt;0,N337*100/L337,0)</f>
        <v>94.55782313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IFERROR(__xludf.DUMMYFUNCTION("IMPORTRANGE(""https://docs.google.com/spreadsheets/d/1SX6NBoVAgQJ6U1MVXOaj8PK2l7WJ3RER9xtqwdhxkhw/edit?usp=sharing"",""ชัยนาท!I234"")"),0.0)</f>
        <v>0</v>
      </c>
      <c r="J339" s="222">
        <f>IFERROR(__xludf.DUMMYFUNCTION("IMPORTRANGE(""https://docs.google.com/spreadsheets/d/1SX6NBoVAgQJ6U1MVXOaj8PK2l7WJ3RER9xtqwdhxkhw/edit?usp=sharing"",""ชัยนาท!J234"")"),8.0)</f>
        <v>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IFERROR(__xludf.DUMMYFUNCTION("IMPORTRANGE(""https://docs.google.com/spreadsheets/d/1SX6NBoVAgQJ6U1MVXOaj8PK2l7WJ3RER9xtqwdhxkhw/edit?usp=sharing"",""ชัยนาท!I235"")"),144.0)</f>
        <v>144</v>
      </c>
      <c r="J340" s="222">
        <f>IFERROR(__xludf.DUMMYFUNCTION("IMPORTRANGE(""https://docs.google.com/spreadsheets/d/1SX6NBoVAgQJ6U1MVXOaj8PK2l7WJ3RER9xtqwdhxkhw/edit?usp=sharing"",""ชัยนาท!J235"")"),98.84)</f>
        <v>98.84</v>
      </c>
      <c r="K340" s="375">
        <f t="shared" si="104"/>
        <v>68.63888889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IFERROR(__xludf.DUMMYFUNCTION("IMPORTRANGE(""https://docs.google.com/spreadsheets/d/1SX6NBoVAgQJ6U1MVXOaj8PK2l7WJ3RER9xtqwdhxkhw/edit?usp=sharing"",""ชัยนาท!I236"")"),27.0)</f>
        <v>27</v>
      </c>
      <c r="J341" s="222">
        <f>IFERROR(__xludf.DUMMYFUNCTION("IMPORTRANGE(""https://docs.google.com/spreadsheets/d/1SX6NBoVAgQJ6U1MVXOaj8PK2l7WJ3RER9xtqwdhxkhw/edit?usp=sharing"",""ชัยนาท!J236"")"),8.0)</f>
        <v>8</v>
      </c>
      <c r="K341" s="375">
        <f t="shared" si="104"/>
        <v>29.62962963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IFERROR(__xludf.DUMMYFUNCTION("IMPORTRANGE(""https://docs.google.com/spreadsheets/d/1SX6NBoVAgQJ6U1MVXOaj8PK2l7WJ3RER9xtqwdhxkhw/edit?usp=sharing"",""ชัยนาท!I237"")"),0.0)</f>
        <v>0</v>
      </c>
      <c r="J342" s="222">
        <f>IFERROR(__xludf.DUMMYFUNCTION("IMPORTRANGE(""https://docs.google.com/spreadsheets/d/1SX6NBoVAgQJ6U1MVXOaj8PK2l7WJ3RER9xtqwdhxkhw/edit?usp=sharing"",""ชัยนาท!J237"")"),98.84)</f>
        <v>98.84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IFERROR(__xludf.DUMMYFUNCTION("IMPORTRANGE(""https://docs.google.com/spreadsheets/d/1SX6NBoVAgQJ6U1MVXOaj8PK2l7WJ3RER9xtqwdhxkhw/edit?usp=sharing"",""ชัยนาท!I238"")"),27.0)</f>
        <v>27</v>
      </c>
      <c r="J343" s="222">
        <f>IFERROR(__xludf.DUMMYFUNCTION("IMPORTRANGE(""https://docs.google.com/spreadsheets/d/1SX6NBoVAgQJ6U1MVXOaj8PK2l7WJ3RER9xtqwdhxkhw/edit?usp=sharing"",""ชัยนาท!J238"")"),0.0)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IFERROR(__xludf.DUMMYFUNCTION("IMPORTRANGE(""https://docs.google.com/spreadsheets/d/1SX6NBoVAgQJ6U1MVXOaj8PK2l7WJ3RER9xtqwdhxkhw/edit?usp=sharing"",""ชัยนาท!I239"")"),0.0)</f>
        <v>0</v>
      </c>
      <c r="J344" s="222">
        <f>IFERROR(__xludf.DUMMYFUNCTION("IMPORTRANGE(""https://docs.google.com/spreadsheets/d/1SX6NBoVAgQJ6U1MVXOaj8PK2l7WJ3RER9xtqwdhxkhw/edit?usp=sharing"",""ชัยนาท!J239"")"),0.0)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IFERROR(__xludf.DUMMYFUNCTION("IMPORTRANGE(""https://docs.google.com/spreadsheets/d/1SX6NBoVAgQJ6U1MVXOaj8PK2l7WJ3RER9xtqwdhxkhw/edit?usp=sharing"",""ชัยนาท!I240"")"),27.0)</f>
        <v>27</v>
      </c>
      <c r="J345" s="222">
        <f>IFERROR(__xludf.DUMMYFUNCTION("IMPORTRANGE(""https://docs.google.com/spreadsheets/d/1SX6NBoVAgQJ6U1MVXOaj8PK2l7WJ3RER9xtqwdhxkhw/edit?usp=sharing"",""ชัยนาท!J240"")"),8.0)</f>
        <v>8</v>
      </c>
      <c r="K345" s="375">
        <f t="shared" si="104"/>
        <v>29.62962963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IFERROR(__xludf.DUMMYFUNCTION("IMPORTRANGE(""https://docs.google.com/spreadsheets/d/1SX6NBoVAgQJ6U1MVXOaj8PK2l7WJ3RER9xtqwdhxkhw/edit?usp=sharing"",""ชัยนาท!I241"")"),0.0)</f>
        <v>0</v>
      </c>
      <c r="J346" s="222">
        <f>IFERROR(__xludf.DUMMYFUNCTION("IMPORTRANGE(""https://docs.google.com/spreadsheets/d/1SX6NBoVAgQJ6U1MVXOaj8PK2l7WJ3RER9xtqwdhxkhw/edit?usp=sharing"",""ชัยนาท!J241"")"),98.84)</f>
        <v>98.84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IFERROR(__xludf.DUMMYFUNCTION("IMPORTRANGE(""https://docs.google.com/spreadsheets/d/1SX6NBoVAgQJ6U1MVXOaj8PK2l7WJ3RER9xtqwdhxkhw/edit?usp=sharing"",""ชัยนาท!L242"")"),828674.0)</f>
        <v>828674</v>
      </c>
      <c r="M347" s="391"/>
      <c r="N347" s="391">
        <f>IFERROR(__xludf.DUMMYFUNCTION("IMPORTRANGE(""https://docs.google.com/spreadsheets/d/1SX6NBoVAgQJ6U1MVXOaj8PK2l7WJ3RER9xtqwdhxkhw/edit?usp=sharing"",""ชัยนาท!M242"")"),276060.0)</f>
        <v>276060</v>
      </c>
      <c r="O347" s="391">
        <f>+IF(L347&gt;0,N347*100/L347,0)</f>
        <v>33.31346223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IFERROR(__xludf.DUMMYFUNCTION("IMPORTRANGE(""https://docs.google.com/spreadsheets/d/1SX6NBoVAgQJ6U1MVXOaj8PK2l7WJ3RER9xtqwdhxkhw/edit?usp=sharing"",""ชัยนาท!I244"")"),10.0)</f>
        <v>10</v>
      </c>
      <c r="J349" s="404">
        <f>IFERROR(__xludf.DUMMYFUNCTION("IMPORTRANGE(""https://docs.google.com/spreadsheets/d/1SX6NBoVAgQJ6U1MVXOaj8PK2l7WJ3RER9xtqwdhxkhw/edit?usp=sharing"",""ชัยนาท!J244"")"),0.0)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IFERROR(__xludf.DUMMYFUNCTION("IMPORTRANGE(""https://docs.google.com/spreadsheets/d/1SX6NBoVAgQJ6U1MVXOaj8PK2l7WJ3RER9xtqwdhxkhw/edit?usp=sharing"",""ชัยนาท!L244"")"),49720.0)</f>
        <v>49720</v>
      </c>
      <c r="M349" s="406"/>
      <c r="N349" s="406">
        <f>IFERROR(__xludf.DUMMYFUNCTION("IMPORTRANGE(""https://docs.google.com/spreadsheets/d/1SX6NBoVAgQJ6U1MVXOaj8PK2l7WJ3RER9xtqwdhxkhw/edit?usp=sharing"",""ชัยนาท!M244"")"),18515.0)</f>
        <v>18515</v>
      </c>
      <c r="O349" s="406">
        <f>+IF(L349&gt;0,N349*100/L349,0)</f>
        <v>37.2385358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IFERROR(__xludf.DUMMYFUNCTION("IMPORTRANGE(""https://docs.google.com/spreadsheets/d/1SX6NBoVAgQJ6U1MVXOaj8PK2l7WJ3RER9xtqwdhxkhw/edit?usp=sharing"",""ชัยนาท!I245"")"),10.0)</f>
        <v>10</v>
      </c>
      <c r="J350" s="404">
        <f>IFERROR(__xludf.DUMMYFUNCTION("IMPORTRANGE(""https://docs.google.com/spreadsheets/d/1SX6NBoVAgQJ6U1MVXOaj8PK2l7WJ3RER9xtqwdhxkhw/edit?usp=sharing"",""ชัยนาท!J245"")"),0.0)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IFERROR(__xludf.DUMMYFUNCTION("IMPORTRANGE(""https://docs.google.com/spreadsheets/d/1SX6NBoVAgQJ6U1MVXOaj8PK2l7WJ3RER9xtqwdhxkhw/edit?usp=sharing"",""ชัยนาท!L246"")"),0.0)</f>
        <v>0</v>
      </c>
      <c r="M351" s="197"/>
      <c r="N351" s="197">
        <f>IFERROR(__xludf.DUMMYFUNCTION("IMPORTRANGE(""https://docs.google.com/spreadsheets/d/1SX6NBoVAgQJ6U1MVXOaj8PK2l7WJ3RER9xtqwdhxkhw/edit?usp=sharing"",""ชัยนาท!M246"")"),0.0)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IFERROR(__xludf.DUMMYFUNCTION("IMPORTRANGE(""https://docs.google.com/spreadsheets/d/1SX6NBoVAgQJ6U1MVXOaj8PK2l7WJ3RER9xtqwdhxkhw/edit?usp=sharing"",""ชัยนาท!L247"")"),49720.0)</f>
        <v>49720</v>
      </c>
      <c r="M352" s="198"/>
      <c r="N352" s="197">
        <f>IFERROR(__xludf.DUMMYFUNCTION("IMPORTRANGE(""https://docs.google.com/spreadsheets/d/1SX6NBoVAgQJ6U1MVXOaj8PK2l7WJ3RER9xtqwdhxkhw/edit?usp=sharing"",""ชัยนาท!M247"")"),18515.0)</f>
        <v>18515</v>
      </c>
      <c r="O352" s="198">
        <f t="shared" si="106"/>
        <v>37.2385358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IFERROR(__xludf.DUMMYFUNCTION("IMPORTRANGE(""https://docs.google.com/spreadsheets/d/1SX6NBoVAgQJ6U1MVXOaj8PK2l7WJ3RER9xtqwdhxkhw/edit?usp=sharing"",""ชัยนาท!L248"")"),0.0)</f>
        <v>0</v>
      </c>
      <c r="M353" s="203"/>
      <c r="N353" s="203">
        <f>IFERROR(__xludf.DUMMYFUNCTION("IMPORTRANGE(""https://docs.google.com/spreadsheets/d/1SX6NBoVAgQJ6U1MVXOaj8PK2l7WJ3RER9xtqwdhxkhw/edit?usp=sharing"",""ชัยนาท!M248"")"),0.0)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IFERROR(__xludf.DUMMYFUNCTION("IMPORTRANGE(""https://docs.google.com/spreadsheets/d/1SX6NBoVAgQJ6U1MVXOaj8PK2l7WJ3RER9xtqwdhxkhw/edit?usp=sharing"",""ชัยนาท!L249"")"),49720.0)</f>
        <v>49720</v>
      </c>
      <c r="M354" s="203"/>
      <c r="N354" s="200">
        <f>IFERROR(__xludf.DUMMYFUNCTION("IMPORTRANGE(""https://docs.google.com/spreadsheets/d/1SX6NBoVAgQJ6U1MVXOaj8PK2l7WJ3RER9xtqwdhxkhw/edit?usp=sharing"",""ชัยนาท!M249"")"),18515.0)</f>
        <v>18515</v>
      </c>
      <c r="O354" s="203">
        <f t="shared" si="106"/>
        <v>37.2385358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IFERROR(__xludf.DUMMYFUNCTION("IMPORTRANGE(""https://docs.google.com/spreadsheets/d/1SX6NBoVAgQJ6U1MVXOaj8PK2l7WJ3RER9xtqwdhxkhw/edit?usp=sharing"",""ชัยนาท!M250"")"),16200.0)</f>
        <v>16200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IFERROR(__xludf.DUMMYFUNCTION("IMPORTRANGE(""https://docs.google.com/spreadsheets/d/1SX6NBoVAgQJ6U1MVXOaj8PK2l7WJ3RER9xtqwdhxkhw/edit?usp=sharing"",""ชัยนาท!M251"")"),1220.0)</f>
        <v>1220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IFERROR(__xludf.DUMMYFUNCTION("IMPORTRANGE(""https://docs.google.com/spreadsheets/d/1SX6NBoVAgQJ6U1MVXOaj8PK2l7WJ3RER9xtqwdhxkhw/edit?usp=sharing"",""ชัยนาท!M252"")"),0.0)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IFERROR(__xludf.DUMMYFUNCTION("IMPORTRANGE(""https://docs.google.com/spreadsheets/d/1SX6NBoVAgQJ6U1MVXOaj8PK2l7WJ3RER9xtqwdhxkhw/edit?usp=sharing"",""ชัยนาท!M253"")"),1095.0)</f>
        <v>1095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IFERROR(__xludf.DUMMYFUNCTION("IMPORTRANGE(""https://docs.google.com/spreadsheets/d/1SX6NBoVAgQJ6U1MVXOaj8PK2l7WJ3RER9xtqwdhxkhw/edit?usp=sharing"",""ชัยนาท!J255"")"),0.0)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IFERROR(__xludf.DUMMYFUNCTION("IMPORTRANGE(""https://docs.google.com/spreadsheets/d/1SX6NBoVAgQJ6U1MVXOaj8PK2l7WJ3RER9xtqwdhxkhw/edit?usp=sharing"",""ชัยนาท!J256"")"),1.0)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IFERROR(__xludf.DUMMYFUNCTION("IMPORTRANGE(""https://docs.google.com/spreadsheets/d/1SX6NBoVAgQJ6U1MVXOaj8PK2l7WJ3RER9xtqwdhxkhw/edit?usp=sharing"",""ชัยนาท!J257"")"),1.0)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IFERROR(__xludf.DUMMYFUNCTION("IMPORTRANGE(""https://docs.google.com/spreadsheets/d/1SX6NBoVAgQJ6U1MVXOaj8PK2l7WJ3RER9xtqwdhxkhw/edit?usp=sharing"",""ชัยนาท!J258"")"),0.0)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IFERROR(__xludf.DUMMYFUNCTION("IMPORTRANGE(""https://docs.google.com/spreadsheets/d/1SX6NBoVAgQJ6U1MVXOaj8PK2l7WJ3RER9xtqwdhxkhw/edit?usp=sharing"",""ชัยนาท!J166"")"),0.0)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IFERROR(__xludf.DUMMYFUNCTION("IMPORTRANGE(""https://docs.google.com/spreadsheets/d/1SX6NBoVAgQJ6U1MVXOaj8PK2l7WJ3RER9xtqwdhxkhw/edit?usp=sharing"",""ชัยนาท!J166"")"),0.0)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IFERROR(__xludf.DUMMYFUNCTION("IMPORTRANGE(""https://docs.google.com/spreadsheets/d/1SX6NBoVAgQJ6U1MVXOaj8PK2l7WJ3RER9xtqwdhxkhw/edit?usp=sharing"",""ชัยนาท!J166"")"),0.0)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IFERROR(__xludf.DUMMYFUNCTION("IMPORTRANGE(""https://docs.google.com/spreadsheets/d/1SX6NBoVAgQJ6U1MVXOaj8PK2l7WJ3RER9xtqwdhxkhw/edit?usp=sharing"",""ชัยนาท!J166"")"),0.0)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IFERROR(__xludf.DUMMYFUNCTION("IMPORTRANGE(""https://docs.google.com/spreadsheets/d/1SX6NBoVAgQJ6U1MVXOaj8PK2l7WJ3RER9xtqwdhxkhw/edit?usp=sharing"",""ชัยนาท!I263"")"),10.0)</f>
        <v>10</v>
      </c>
      <c r="J368" s="222">
        <f>IFERROR(__xludf.DUMMYFUNCTION("IMPORTRANGE(""https://docs.google.com/spreadsheets/d/1SX6NBoVAgQJ6U1MVXOaj8PK2l7WJ3RER9xtqwdhxkhw/edit?usp=sharing"",""ชัยนาท!J263"")"),0.0)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IFERROR(__xludf.DUMMYFUNCTION("IMPORTRANGE(""https://docs.google.com/spreadsheets/d/1SX6NBoVAgQJ6U1MVXOaj8PK2l7WJ3RER9xtqwdhxkhw/edit?usp=sharing"",""ชัยนาท!I164"")"),0.0)</f>
        <v>0</v>
      </c>
      <c r="J369" s="238">
        <f>IFERROR(__xludf.DUMMYFUNCTION("IMPORTRANGE(""https://docs.google.com/spreadsheets/d/1SX6NBoVAgQJ6U1MVXOaj8PK2l7WJ3RER9xtqwdhxkhw/edit?usp=sharing"",""ชัยนาท!J164"")"),0.0)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IFERROR(__xludf.DUMMYFUNCTION("IMPORTRANGE(""https://docs.google.com/spreadsheets/d/1SX6NBoVAgQJ6U1MVXOaj8PK2l7WJ3RER9xtqwdhxkhw/edit?usp=sharing"",""ชัยนาท!I265"")"),10.0)</f>
        <v>10</v>
      </c>
      <c r="J370" s="238">
        <f>IFERROR(__xludf.DUMMYFUNCTION("IMPORTRANGE(""https://docs.google.com/spreadsheets/d/1SX6NBoVAgQJ6U1MVXOaj8PK2l7WJ3RER9xtqwdhxkhw/edit?usp=sharing"",""ชัยนาท!J265"")"),0.0)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IFERROR(__xludf.DUMMYFUNCTION("IMPORTRANGE(""https://docs.google.com/spreadsheets/d/1SX6NBoVAgQJ6U1MVXOaj8PK2l7WJ3RER9xtqwdhxkhw/edit?usp=sharing"",""ชัยนาท!I164"")"),0.0)</f>
        <v>0</v>
      </c>
      <c r="J371" s="223">
        <f>IFERROR(__xludf.DUMMYFUNCTION("IMPORTRANGE(""https://docs.google.com/spreadsheets/d/1SX6NBoVAgQJ6U1MVXOaj8PK2l7WJ3RER9xtqwdhxkhw/edit?usp=sharing"",""ชัยนาท!J164"")"),0.0)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IFERROR(__xludf.DUMMYFUNCTION("IMPORTRANGE(""https://docs.google.com/spreadsheets/d/1SX6NBoVAgQJ6U1MVXOaj8PK2l7WJ3RER9xtqwdhxkhw/edit?usp=sharing"",""ชัยนาท!I267"")"),10.0)</f>
        <v>10</v>
      </c>
      <c r="J372" s="223">
        <f>IFERROR(__xludf.DUMMYFUNCTION("IMPORTRANGE(""https://docs.google.com/spreadsheets/d/1SX6NBoVAgQJ6U1MVXOaj8PK2l7WJ3RER9xtqwdhxkhw/edit?usp=sharing"",""ชัยนาท!J267"")"),0.0)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IFERROR(__xludf.DUMMYFUNCTION("IMPORTRANGE(""https://docs.google.com/spreadsheets/d/1SX6NBoVAgQJ6U1MVXOaj8PK2l7WJ3RER9xtqwdhxkhw/edit?usp=sharing"",""ชัยนาท!I164"")"),0.0)</f>
        <v>0</v>
      </c>
      <c r="J373" s="238">
        <f>IFERROR(__xludf.DUMMYFUNCTION("IMPORTRANGE(""https://docs.google.com/spreadsheets/d/1SX6NBoVAgQJ6U1MVXOaj8PK2l7WJ3RER9xtqwdhxkhw/edit?usp=sharing"",""ชัยนาท!J164"")"),0.0)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IFERROR(__xludf.DUMMYFUNCTION("IMPORTRANGE(""https://docs.google.com/spreadsheets/d/1SX6NBoVAgQJ6U1MVXOaj8PK2l7WJ3RER9xtqwdhxkhw/edit?usp=sharing"",""ชัยนาท!I164"")"),0.0)</f>
        <v>0</v>
      </c>
      <c r="J374" s="222">
        <f>IFERROR(__xludf.DUMMYFUNCTION("IMPORTRANGE(""https://docs.google.com/spreadsheets/d/1SX6NBoVAgQJ6U1MVXOaj8PK2l7WJ3RER9xtqwdhxkhw/edit?usp=sharing"",""ชัยนาท!J164"")"),0.0)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IFERROR(__xludf.DUMMYFUNCTION("IMPORTRANGE(""https://docs.google.com/spreadsheets/d/1SX6NBoVAgQJ6U1MVXOaj8PK2l7WJ3RER9xtqwdhxkhw/edit?usp=sharing"",""ชัยนาท!I270"")"),10.0)</f>
        <v>10</v>
      </c>
      <c r="J375" s="222">
        <f>IFERROR(__xludf.DUMMYFUNCTION("IMPORTRANGE(""https://docs.google.com/spreadsheets/d/1SX6NBoVAgQJ6U1MVXOaj8PK2l7WJ3RER9xtqwdhxkhw/edit?usp=sharing"",""ชัยนาท!J270"")"),0.0)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IFERROR(__xludf.DUMMYFUNCTION("IMPORTRANGE(""https://docs.google.com/spreadsheets/d/1SX6NBoVAgQJ6U1MVXOaj8PK2l7WJ3RER9xtqwdhxkhw/edit?usp=sharing"",""ชัยนาท!I271"")"),10.0)</f>
        <v>10</v>
      </c>
      <c r="J376" s="223">
        <f>IFERROR(__xludf.DUMMYFUNCTION("IMPORTRANGE(""https://docs.google.com/spreadsheets/d/1SX6NBoVAgQJ6U1MVXOaj8PK2l7WJ3RER9xtqwdhxkhw/edit?usp=sharing"",""ชัยนาท!J271"")"),0.0)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IFERROR(__xludf.DUMMYFUNCTION("IMPORTRANGE(""https://docs.google.com/spreadsheets/d/1SX6NBoVAgQJ6U1MVXOaj8PK2l7WJ3RER9xtqwdhxkhw/edit?usp=sharing"",""ชัยนาท!I272"")"),0.0)</f>
        <v>0</v>
      </c>
      <c r="J377" s="238">
        <f>IFERROR(__xludf.DUMMYFUNCTION("IMPORTRANGE(""https://docs.google.com/spreadsheets/d/1SX6NBoVAgQJ6U1MVXOaj8PK2l7WJ3RER9xtqwdhxkhw/edit?usp=sharing"",""ชัยนาท!J272"")"),0.0)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IFERROR(__xludf.DUMMYFUNCTION("IMPORTRANGE(""https://docs.google.com/spreadsheets/d/1SX6NBoVAgQJ6U1MVXOaj8PK2l7WJ3RER9xtqwdhxkhw/edit?usp=sharing"",""ชัยนาท!J273"")"),0.0)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IFERROR(__xludf.DUMMYFUNCTION("IMPORTRANGE(""https://docs.google.com/spreadsheets/d/1SX6NBoVAgQJ6U1MVXOaj8PK2l7WJ3RER9xtqwdhxkhw/edit?usp=sharing"",""ชัยนาท!J274"")"),0.0)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IFERROR(__xludf.DUMMYFUNCTION("IMPORTRANGE(""https://docs.google.com/spreadsheets/d/1SX6NBoVAgQJ6U1MVXOaj8PK2l7WJ3RER9xtqwdhxkhw/edit?usp=sharing"",""ชัยนาท!I275"")"),200.0)</f>
        <v>200</v>
      </c>
      <c r="J380" s="404">
        <f>IFERROR(__xludf.DUMMYFUNCTION("IMPORTRANGE(""https://docs.google.com/spreadsheets/d/1SX6NBoVAgQJ6U1MVXOaj8PK2l7WJ3RER9xtqwdhxkhw/edit?usp=sharing"",""ชัยนาท!J275"")"),0.0)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IFERROR(__xludf.DUMMYFUNCTION("IMPORTRANGE(""https://docs.google.com/spreadsheets/d/1SX6NBoVAgQJ6U1MVXOaj8PK2l7WJ3RER9xtqwdhxkhw/edit?usp=sharing"",""ชัยนาท!L275"")"),207560.0)</f>
        <v>207560</v>
      </c>
      <c r="M380" s="406"/>
      <c r="N380" s="406">
        <f>IFERROR(__xludf.DUMMYFUNCTION("IMPORTRANGE(""https://docs.google.com/spreadsheets/d/1SX6NBoVAgQJ6U1MVXOaj8PK2l7WJ3RER9xtqwdhxkhw/edit?usp=sharing"",""ชัยนาท!M275"")"),43335.0)</f>
        <v>43335</v>
      </c>
      <c r="O380" s="406">
        <f>+IF(L380&gt;0,N380*100/L380,0)</f>
        <v>20.87830025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IFERROR(__xludf.DUMMYFUNCTION("IMPORTRANGE(""https://docs.google.com/spreadsheets/d/1SX6NBoVAgQJ6U1MVXOaj8PK2l7WJ3RER9xtqwdhxkhw/edit?usp=sharing"",""ชัยนาท!I276"")"),20.0)</f>
        <v>20</v>
      </c>
      <c r="J381" s="404">
        <f>IFERROR(__xludf.DUMMYFUNCTION("IMPORTRANGE(""https://docs.google.com/spreadsheets/d/1SX6NBoVAgQJ6U1MVXOaj8PK2l7WJ3RER9xtqwdhxkhw/edit?usp=sharing"",""ชัยนาท!J276"")"),0.0)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IFERROR(__xludf.DUMMYFUNCTION("IMPORTRANGE(""https://docs.google.com/spreadsheets/d/1SX6NBoVAgQJ6U1MVXOaj8PK2l7WJ3RER9xtqwdhxkhw/edit?usp=sharing"",""ชัยนาท!L277"")"),0.0)</f>
        <v>0</v>
      </c>
      <c r="M382" s="197"/>
      <c r="N382" s="197">
        <f>IFERROR(__xludf.DUMMYFUNCTION("IMPORTRANGE(""https://docs.google.com/spreadsheets/d/1SX6NBoVAgQJ6U1MVXOaj8PK2l7WJ3RER9xtqwdhxkhw/edit?usp=sharing"",""ชัยนาท!M277"")"),0.0)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IFERROR(__xludf.DUMMYFUNCTION("IMPORTRANGE(""https://docs.google.com/spreadsheets/d/1SX6NBoVAgQJ6U1MVXOaj8PK2l7WJ3RER9xtqwdhxkhw/edit?usp=sharing"",""ชัยนาท!L278"")"),207560.0)</f>
        <v>207560</v>
      </c>
      <c r="M383" s="198"/>
      <c r="N383" s="198">
        <f>IFERROR(__xludf.DUMMYFUNCTION("IMPORTRANGE(""https://docs.google.com/spreadsheets/d/1SX6NBoVAgQJ6U1MVXOaj8PK2l7WJ3RER9xtqwdhxkhw/edit?usp=sharing"",""ชัยนาท!M278"")"),43335.0)</f>
        <v>43335</v>
      </c>
      <c r="O383" s="198">
        <f t="shared" si="110"/>
        <v>20.87830025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IFERROR(__xludf.DUMMYFUNCTION("IMPORTRANGE(""https://docs.google.com/spreadsheets/d/1SX6NBoVAgQJ6U1MVXOaj8PK2l7WJ3RER9xtqwdhxkhw/edit?usp=sharing"",""ชัยนาท!L279"")"),0.0)</f>
        <v>0</v>
      </c>
      <c r="M384" s="203"/>
      <c r="N384" s="203">
        <f>IFERROR(__xludf.DUMMYFUNCTION("IMPORTRANGE(""https://docs.google.com/spreadsheets/d/1SX6NBoVAgQJ6U1MVXOaj8PK2l7WJ3RER9xtqwdhxkhw/edit?usp=sharing"",""ชัยนาท!M279"")"),0.0)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IFERROR(__xludf.DUMMYFUNCTION("IMPORTRANGE(""https://docs.google.com/spreadsheets/d/1SX6NBoVAgQJ6U1MVXOaj8PK2l7WJ3RER9xtqwdhxkhw/edit?usp=sharing"",""ชัยนาท!L280"")"),207560.0)</f>
        <v>207560</v>
      </c>
      <c r="M385" s="203"/>
      <c r="N385" s="200">
        <f>IFERROR(__xludf.DUMMYFUNCTION("IMPORTRANGE(""https://docs.google.com/spreadsheets/d/1SX6NBoVAgQJ6U1MVXOaj8PK2l7WJ3RER9xtqwdhxkhw/edit?usp=sharing"",""ชัยนาท!M280"")"),43335.0)</f>
        <v>43335</v>
      </c>
      <c r="O385" s="203">
        <f t="shared" si="110"/>
        <v>20.87830025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IFERROR(__xludf.DUMMYFUNCTION("IMPORTRANGE(""https://docs.google.com/spreadsheets/d/1SX6NBoVAgQJ6U1MVXOaj8PK2l7WJ3RER9xtqwdhxkhw/edit?usp=sharing"",""ชัยนาท!M281"")"),32960.0)</f>
        <v>32960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IFERROR(__xludf.DUMMYFUNCTION("IMPORTRANGE(""https://docs.google.com/spreadsheets/d/1SX6NBoVAgQJ6U1MVXOaj8PK2l7WJ3RER9xtqwdhxkhw/edit?usp=sharing"",""ชัยนาท!M282"")"),0.0)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IFERROR(__xludf.DUMMYFUNCTION("IMPORTRANGE(""https://docs.google.com/spreadsheets/d/1SX6NBoVAgQJ6U1MVXOaj8PK2l7WJ3RER9xtqwdhxkhw/edit?usp=sharing"",""ชัยนาท!M283"")"),0.0)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IFERROR(__xludf.DUMMYFUNCTION("IMPORTRANGE(""https://docs.google.com/spreadsheets/d/1SX6NBoVAgQJ6U1MVXOaj8PK2l7WJ3RER9xtqwdhxkhw/edit?usp=sharing"",""ชัยนาท!M284"")"),10375.0)</f>
        <v>10375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IFERROR(__xludf.DUMMYFUNCTION("IMPORTRANGE(""https://docs.google.com/spreadsheets/d/1SX6NBoVAgQJ6U1MVXOaj8PK2l7WJ3RER9xtqwdhxkhw/edit?usp=sharing"",""ชัยนาท!J286"")"),0.0)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IFERROR(__xludf.DUMMYFUNCTION("IMPORTRANGE(""https://docs.google.com/spreadsheets/d/1SX6NBoVAgQJ6U1MVXOaj8PK2l7WJ3RER9xtqwdhxkhw/edit?usp=sharing"",""ชัยนาท!J287"")"),1.0)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IFERROR(__xludf.DUMMYFUNCTION("IMPORTRANGE(""https://docs.google.com/spreadsheets/d/1SX6NBoVAgQJ6U1MVXOaj8PK2l7WJ3RER9xtqwdhxkhw/edit?usp=sharing"",""ชัยนาท!J288"")"),1.0)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IFERROR(__xludf.DUMMYFUNCTION("IMPORTRANGE(""https://docs.google.com/spreadsheets/d/1SX6NBoVAgQJ6U1MVXOaj8PK2l7WJ3RER9xtqwdhxkhw/edit?usp=sharing"",""ชัยนาท!J289"")"),0.0)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IFERROR(__xludf.DUMMYFUNCTION("IMPORTRANGE(""https://docs.google.com/spreadsheets/d/1SX6NBoVAgQJ6U1MVXOaj8PK2l7WJ3RER9xtqwdhxkhw/edit?usp=sharing"",""ชัยนาท!I291"")"),20.0)</f>
        <v>20</v>
      </c>
      <c r="J396" s="232">
        <f>IFERROR(__xludf.DUMMYFUNCTION("IMPORTRANGE(""https://docs.google.com/spreadsheets/d/1SX6NBoVAgQJ6U1MVXOaj8PK2l7WJ3RER9xtqwdhxkhw/edit?usp=sharing"",""ชัยนาท!J291"")"),0.0)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IFERROR(__xludf.DUMMYFUNCTION("IMPORTRANGE(""https://docs.google.com/spreadsheets/d/1SX6NBoVAgQJ6U1MVXOaj8PK2l7WJ3RER9xtqwdhxkhw/edit?usp=sharing"",""ชัยนาท!I292"")"),200.0)</f>
        <v>200</v>
      </c>
      <c r="J397" s="232">
        <f>IFERROR(__xludf.DUMMYFUNCTION("IMPORTRANGE(""https://docs.google.com/spreadsheets/d/1SX6NBoVAgQJ6U1MVXOaj8PK2l7WJ3RER9xtqwdhxkhw/edit?usp=sharing"",""ชัยนาท!J292"")"),0.0)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IFERROR(__xludf.DUMMYFUNCTION("IMPORTRANGE(""https://docs.google.com/spreadsheets/d/1SX6NBoVAgQJ6U1MVXOaj8PK2l7WJ3RER9xtqwdhxkhw/edit?usp=sharing"",""ชัยนาท!I293"")"),20.0)</f>
        <v>20</v>
      </c>
      <c r="J398" s="232">
        <f>IFERROR(__xludf.DUMMYFUNCTION("IMPORTRANGE(""https://docs.google.com/spreadsheets/d/1SX6NBoVAgQJ6U1MVXOaj8PK2l7WJ3RER9xtqwdhxkhw/edit?usp=sharing"",""ชัยนาท!J293"")"),0.0)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IFERROR(__xludf.DUMMYFUNCTION("IMPORTRANGE(""https://docs.google.com/spreadsheets/d/1SX6NBoVAgQJ6U1MVXOaj8PK2l7WJ3RER9xtqwdhxkhw/edit?usp=sharing"",""ชัยนาท!J294"")"),0.0)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IFERROR(__xludf.DUMMYFUNCTION("IMPORTRANGE(""https://docs.google.com/spreadsheets/d/1SX6NBoVAgQJ6U1MVXOaj8PK2l7WJ3RER9xtqwdhxkhw/edit?usp=sharing"",""ชัยนาท!J295"")"),0.0)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IFERROR(__xludf.DUMMYFUNCTION("IMPORTRANGE(""https://docs.google.com/spreadsheets/d/1SX6NBoVAgQJ6U1MVXOaj8PK2l7WJ3RER9xtqwdhxkhw/edit?usp=sharing"",""ชัยนาท!I296"")"),195.0)</f>
        <v>195</v>
      </c>
      <c r="J401" s="404">
        <f>IFERROR(__xludf.DUMMYFUNCTION("IMPORTRANGE(""https://docs.google.com/spreadsheets/d/1SX6NBoVAgQJ6U1MVXOaj8PK2l7WJ3RER9xtqwdhxkhw/edit?usp=sharing"",""ชัยนาท!J296"")"),0.0)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IFERROR(__xludf.DUMMYFUNCTION("IMPORTRANGE(""https://docs.google.com/spreadsheets/d/1SX6NBoVAgQJ6U1MVXOaj8PK2l7WJ3RER9xtqwdhxkhw/edit?usp=sharing"",""ชัยนาท!L296"")"),226530.0)</f>
        <v>226530</v>
      </c>
      <c r="M401" s="406"/>
      <c r="N401" s="406">
        <f>IFERROR(__xludf.DUMMYFUNCTION("IMPORTRANGE(""https://docs.google.com/spreadsheets/d/1SX6NBoVAgQJ6U1MVXOaj8PK2l7WJ3RER9xtqwdhxkhw/edit?usp=sharing"",""ชัยนาท!M296"")"),102220.0)</f>
        <v>102220</v>
      </c>
      <c r="O401" s="406">
        <f>+IF(L401&gt;0,N401*100/L401,0)</f>
        <v>45.1242661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IFERROR(__xludf.DUMMYFUNCTION("IMPORTRANGE(""https://docs.google.com/spreadsheets/d/1SX6NBoVAgQJ6U1MVXOaj8PK2l7WJ3RER9xtqwdhxkhw/edit?usp=sharing"",""ชัยนาท!I297"")"),65.0)</f>
        <v>65</v>
      </c>
      <c r="J402" s="404">
        <f>IFERROR(__xludf.DUMMYFUNCTION("IMPORTRANGE(""https://docs.google.com/spreadsheets/d/1SX6NBoVAgQJ6U1MVXOaj8PK2l7WJ3RER9xtqwdhxkhw/edit?usp=sharing"",""ชัยนาท!J297"")"),0.0)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IFERROR(__xludf.DUMMYFUNCTION("IMPORTRANGE(""https://docs.google.com/spreadsheets/d/1SX6NBoVAgQJ6U1MVXOaj8PK2l7WJ3RER9xtqwdhxkhw/edit?usp=sharing"",""ชัยนาท!L298"")"),0.0)</f>
        <v>0</v>
      </c>
      <c r="M403" s="197"/>
      <c r="N403" s="203">
        <f>IFERROR(__xludf.DUMMYFUNCTION("IMPORTRANGE(""https://docs.google.com/spreadsheets/d/1SX6NBoVAgQJ6U1MVXOaj8PK2l7WJ3RER9xtqwdhxkhw/edit?usp=sharing"",""ชัยนาท!M298"")"),0.0)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IFERROR(__xludf.DUMMYFUNCTION("IMPORTRANGE(""https://docs.google.com/spreadsheets/d/1SX6NBoVAgQJ6U1MVXOaj8PK2l7WJ3RER9xtqwdhxkhw/edit?usp=sharing"",""ชัยนาท!L299"")"),226530.0)</f>
        <v>226530</v>
      </c>
      <c r="M404" s="198"/>
      <c r="N404" s="203">
        <f>IFERROR(__xludf.DUMMYFUNCTION("IMPORTRANGE(""https://docs.google.com/spreadsheets/d/1SX6NBoVAgQJ6U1MVXOaj8PK2l7WJ3RER9xtqwdhxkhw/edit?usp=sharing"",""ชัยนาท!M299"")"),102220.0)</f>
        <v>102220</v>
      </c>
      <c r="O404" s="203">
        <f t="shared" si="113"/>
        <v>45.1242661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IFERROR(__xludf.DUMMYFUNCTION("IMPORTRANGE(""https://docs.google.com/spreadsheets/d/1SX6NBoVAgQJ6U1MVXOaj8PK2l7WJ3RER9xtqwdhxkhw/edit?usp=sharing"",""ชัยนาท!L300"")"),0.0)</f>
        <v>0</v>
      </c>
      <c r="M405" s="203"/>
      <c r="N405" s="203">
        <f>IFERROR(__xludf.DUMMYFUNCTION("IMPORTRANGE(""https://docs.google.com/spreadsheets/d/1SX6NBoVAgQJ6U1MVXOaj8PK2l7WJ3RER9xtqwdhxkhw/edit?usp=sharing"",""ชัยนาท!M300"")"),0.0)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IFERROR(__xludf.DUMMYFUNCTION("IMPORTRANGE(""https://docs.google.com/spreadsheets/d/1SX6NBoVAgQJ6U1MVXOaj8PK2l7WJ3RER9xtqwdhxkhw/edit?usp=sharing"",""ชัยนาท!L301"")"),226530.0)</f>
        <v>226530</v>
      </c>
      <c r="M406" s="203"/>
      <c r="N406" s="203">
        <f>IFERROR(__xludf.DUMMYFUNCTION("IMPORTRANGE(""https://docs.google.com/spreadsheets/d/1SX6NBoVAgQJ6U1MVXOaj8PK2l7WJ3RER9xtqwdhxkhw/edit?usp=sharing"",""ชัยนาท!M301"")"),102220.0)</f>
        <v>102220</v>
      </c>
      <c r="O406" s="203">
        <f t="shared" si="113"/>
        <v>45.1242661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IFERROR(__xludf.DUMMYFUNCTION("IMPORTRANGE(""https://docs.google.com/spreadsheets/d/1SX6NBoVAgQJ6U1MVXOaj8PK2l7WJ3RER9xtqwdhxkhw/edit?usp=sharing"",""ชัยนาท!M302"")"),55610.0)</f>
        <v>55610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IFERROR(__xludf.DUMMYFUNCTION("IMPORTRANGE(""https://docs.google.com/spreadsheets/d/1SX6NBoVAgQJ6U1MVXOaj8PK2l7WJ3RER9xtqwdhxkhw/edit?usp=sharing"",""ชัยนาท!M303"")"),45000.0)</f>
        <v>45000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IFERROR(__xludf.DUMMYFUNCTION("IMPORTRANGE(""https://docs.google.com/spreadsheets/d/1SX6NBoVAgQJ6U1MVXOaj8PK2l7WJ3RER9xtqwdhxkhw/edit?usp=sharing"",""ชัยนาท!M304"")"),0.0)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IFERROR(__xludf.DUMMYFUNCTION("IMPORTRANGE(""https://docs.google.com/spreadsheets/d/1SX6NBoVAgQJ6U1MVXOaj8PK2l7WJ3RER9xtqwdhxkhw/edit?usp=sharing"",""ชัยนาท!M305"")"),1610.0)</f>
        <v>1610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IFERROR(__xludf.DUMMYFUNCTION("IMPORTRANGE(""https://docs.google.com/spreadsheets/d/1SX6NBoVAgQJ6U1MVXOaj8PK2l7WJ3RER9xtqwdhxkhw/edit?usp=sharing"",""ชัยนาท!J307"")"),0.0)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IFERROR(__xludf.DUMMYFUNCTION("IMPORTRANGE(""https://docs.google.com/spreadsheets/d/1SX6NBoVAgQJ6U1MVXOaj8PK2l7WJ3RER9xtqwdhxkhw/edit?usp=sharing"",""ชัยนาท!J308"")"),1.0)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IFERROR(__xludf.DUMMYFUNCTION("IMPORTRANGE(""https://docs.google.com/spreadsheets/d/1SX6NBoVAgQJ6U1MVXOaj8PK2l7WJ3RER9xtqwdhxkhw/edit?usp=sharing"",""ชัยนาท!J309"")"),1.0)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IFERROR(__xludf.DUMMYFUNCTION("IMPORTRANGE(""https://docs.google.com/spreadsheets/d/1SX6NBoVAgQJ6U1MVXOaj8PK2l7WJ3RER9xtqwdhxkhw/edit?usp=sharing"",""ชัยนาท!J310"")"),0.0)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IFERROR(__xludf.DUMMYFUNCTION("IMPORTRANGE(""https://docs.google.com/spreadsheets/d/1SX6NBoVAgQJ6U1MVXOaj8PK2l7WJ3RER9xtqwdhxkhw/edit?usp=sharing"",""ชัยนาท!I311"")"),65.0)</f>
        <v>65</v>
      </c>
      <c r="J416" s="235">
        <f>IFERROR(__xludf.DUMMYFUNCTION("IMPORTRANGE(""https://docs.google.com/spreadsheets/d/1SX6NBoVAgQJ6U1MVXOaj8PK2l7WJ3RER9xtqwdhxkhw/edit?usp=sharing"",""ชัยนาท!J311"")"),0.0)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IFERROR(__xludf.DUMMYFUNCTION("IMPORTRANGE(""https://docs.google.com/spreadsheets/d/1SX6NBoVAgQJ6U1MVXOaj8PK2l7WJ3RER9xtqwdhxkhw/edit?usp=sharing"",""ชัยนาท!I312"")"),30.0)</f>
        <v>30</v>
      </c>
      <c r="J417" s="425">
        <f>IFERROR(__xludf.DUMMYFUNCTION("IMPORTRANGE(""https://docs.google.com/spreadsheets/d/1SX6NBoVAgQJ6U1MVXOaj8PK2l7WJ3RER9xtqwdhxkhw/edit?usp=sharing"",""ชัยนาท!J312"")"),0.0)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IFERROR(__xludf.DUMMYFUNCTION("IMPORTRANGE(""https://docs.google.com/spreadsheets/d/1SX6NBoVAgQJ6U1MVXOaj8PK2l7WJ3RER9xtqwdhxkhw/edit?usp=sharing"",""ชัยนาท!I313"")"),90.0)</f>
        <v>90</v>
      </c>
      <c r="J418" s="426">
        <f>IFERROR(__xludf.DUMMYFUNCTION("IMPORTRANGE(""https://docs.google.com/spreadsheets/d/1SX6NBoVAgQJ6U1MVXOaj8PK2l7WJ3RER9xtqwdhxkhw/edit?usp=sharing"",""ชัยนาท!J313"")"),0.0)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IFERROR(__xludf.DUMMYFUNCTION("IMPORTRANGE(""https://docs.google.com/spreadsheets/d/1SX6NBoVAgQJ6U1MVXOaj8PK2l7WJ3RER9xtqwdhxkhw/edit?usp=sharing"",""ชัยนาท!I314"")"),30.0)</f>
        <v>30</v>
      </c>
      <c r="J419" s="427">
        <f>IFERROR(__xludf.DUMMYFUNCTION("IMPORTRANGE(""https://docs.google.com/spreadsheets/d/1SX6NBoVAgQJ6U1MVXOaj8PK2l7WJ3RER9xtqwdhxkhw/edit?usp=sharing"",""ชัยนาท!J314"")"),0.0)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IFERROR(__xludf.DUMMYFUNCTION("IMPORTRANGE(""https://docs.google.com/spreadsheets/d/1SX6NBoVAgQJ6U1MVXOaj8PK2l7WJ3RER9xtqwdhxkhw/edit?usp=sharing"",""ชัยนาท!I315"")"),30.0)</f>
        <v>30</v>
      </c>
      <c r="J420" s="427">
        <f>IFERROR(__xludf.DUMMYFUNCTION("IMPORTRANGE(""https://docs.google.com/spreadsheets/d/1SX6NBoVAgQJ6U1MVXOaj8PK2l7WJ3RER9xtqwdhxkhw/edit?usp=sharing"",""ชัยนาท!J315"")"),0.0)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IFERROR(__xludf.DUMMYFUNCTION("IMPORTRANGE(""https://docs.google.com/spreadsheets/d/1SX6NBoVAgQJ6U1MVXOaj8PK2l7WJ3RER9xtqwdhxkhw/edit?usp=sharing"",""ชัยนาท!I316"")"),25.0)</f>
        <v>25</v>
      </c>
      <c r="J421" s="425">
        <f>IFERROR(__xludf.DUMMYFUNCTION("IMPORTRANGE(""https://docs.google.com/spreadsheets/d/1SX6NBoVAgQJ6U1MVXOaj8PK2l7WJ3RER9xtqwdhxkhw/edit?usp=sharing"",""ชัยนาท!J316"")"),0.0)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IFERROR(__xludf.DUMMYFUNCTION("IMPORTRANGE(""https://docs.google.com/spreadsheets/d/1SX6NBoVAgQJ6U1MVXOaj8PK2l7WJ3RER9xtqwdhxkhw/edit?usp=sharing"",""ชัยนาท!I317"")"),75.0)</f>
        <v>75</v>
      </c>
      <c r="J422" s="426">
        <f>IFERROR(__xludf.DUMMYFUNCTION("IMPORTRANGE(""https://docs.google.com/spreadsheets/d/1SX6NBoVAgQJ6U1MVXOaj8PK2l7WJ3RER9xtqwdhxkhw/edit?usp=sharing"",""ชัยนาท!J317"")"),0.0)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IFERROR(__xludf.DUMMYFUNCTION("IMPORTRANGE(""https://docs.google.com/spreadsheets/d/1SX6NBoVAgQJ6U1MVXOaj8PK2l7WJ3RER9xtqwdhxkhw/edit?usp=sharing"",""ชัยนาท!I318"")"),25.0)</f>
        <v>25</v>
      </c>
      <c r="J423" s="427">
        <f>IFERROR(__xludf.DUMMYFUNCTION("IMPORTRANGE(""https://docs.google.com/spreadsheets/d/1SX6NBoVAgQJ6U1MVXOaj8PK2l7WJ3RER9xtqwdhxkhw/edit?usp=sharing"",""ชัยนาท!J318"")"),0.0)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IFERROR(__xludf.DUMMYFUNCTION("IMPORTRANGE(""https://docs.google.com/spreadsheets/d/1SX6NBoVAgQJ6U1MVXOaj8PK2l7WJ3RER9xtqwdhxkhw/edit?usp=sharing"",""ชัยนาท!I319"")"),25.0)</f>
        <v>25</v>
      </c>
      <c r="J424" s="427">
        <f>IFERROR(__xludf.DUMMYFUNCTION("IMPORTRANGE(""https://docs.google.com/spreadsheets/d/1SX6NBoVAgQJ6U1MVXOaj8PK2l7WJ3RER9xtqwdhxkhw/edit?usp=sharing"",""ชัยนาท!J319"")"),0.0)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IFERROR(__xludf.DUMMYFUNCTION("IMPORTRANGE(""https://docs.google.com/spreadsheets/d/1SX6NBoVAgQJ6U1MVXOaj8PK2l7WJ3RER9xtqwdhxkhw/edit?usp=sharing"",""ชัยนาท!I320"")"),25.0)</f>
        <v>25</v>
      </c>
      <c r="J425" s="427">
        <f>IFERROR(__xludf.DUMMYFUNCTION("IMPORTRANGE(""https://docs.google.com/spreadsheets/d/1SX6NBoVAgQJ6U1MVXOaj8PK2l7WJ3RER9xtqwdhxkhw/edit?usp=sharing"",""ชัยนาท!J320"")"),0.0)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IFERROR(__xludf.DUMMYFUNCTION("IMPORTRANGE(""https://docs.google.com/spreadsheets/d/1SX6NBoVAgQJ6U1MVXOaj8PK2l7WJ3RER9xtqwdhxkhw/edit?usp=sharing"",""ชัยนาท!I321"")"),10.0)</f>
        <v>10</v>
      </c>
      <c r="J426" s="425">
        <f>IFERROR(__xludf.DUMMYFUNCTION("IMPORTRANGE(""https://docs.google.com/spreadsheets/d/1SX6NBoVAgQJ6U1MVXOaj8PK2l7WJ3RER9xtqwdhxkhw/edit?usp=sharing"",""ชัยนาท!J321"")"),0.0)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IFERROR(__xludf.DUMMYFUNCTION("IMPORTRANGE(""https://docs.google.com/spreadsheets/d/1SX6NBoVAgQJ6U1MVXOaj8PK2l7WJ3RER9xtqwdhxkhw/edit?usp=sharing"",""ชัยนาท!I322"")"),30.0)</f>
        <v>30</v>
      </c>
      <c r="J427" s="426">
        <f>IFERROR(__xludf.DUMMYFUNCTION("IMPORTRANGE(""https://docs.google.com/spreadsheets/d/1SX6NBoVAgQJ6U1MVXOaj8PK2l7WJ3RER9xtqwdhxkhw/edit?usp=sharing"",""ชัยนาท!J322"")"),0.0)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IFERROR(__xludf.DUMMYFUNCTION("IMPORTRANGE(""https://docs.google.com/spreadsheets/d/1SX6NBoVAgQJ6U1MVXOaj8PK2l7WJ3RER9xtqwdhxkhw/edit?usp=sharing"",""ชัยนาท!I323"")"),10.0)</f>
        <v>10</v>
      </c>
      <c r="J428" s="427">
        <f>IFERROR(__xludf.DUMMYFUNCTION("IMPORTRANGE(""https://docs.google.com/spreadsheets/d/1SX6NBoVAgQJ6U1MVXOaj8PK2l7WJ3RER9xtqwdhxkhw/edit?usp=sharing"",""ชัยนาท!J323"")"),0.0)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IFERROR(__xludf.DUMMYFUNCTION("IMPORTRANGE(""https://docs.google.com/spreadsheets/d/1SX6NBoVAgQJ6U1MVXOaj8PK2l7WJ3RER9xtqwdhxkhw/edit?usp=sharing"",""ชัยนาท!I324"")"),10.0)</f>
        <v>10</v>
      </c>
      <c r="J429" s="427">
        <f>IFERROR(__xludf.DUMMYFUNCTION("IMPORTRANGE(""https://docs.google.com/spreadsheets/d/1SX6NBoVAgQJ6U1MVXOaj8PK2l7WJ3RER9xtqwdhxkhw/edit?usp=sharing"",""ชัยนาท!J324"")"),0.0)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IFERROR(__xludf.DUMMYFUNCTION("IMPORTRANGE(""https://docs.google.com/spreadsheets/d/1SX6NBoVAgQJ6U1MVXOaj8PK2l7WJ3RER9xtqwdhxkhw/edit?usp=sharing"",""ชัยนาท!I325"")"),55.0)</f>
        <v>55</v>
      </c>
      <c r="J430" s="425">
        <f>IFERROR(__xludf.DUMMYFUNCTION("IMPORTRANGE(""https://docs.google.com/spreadsheets/d/1SX6NBoVAgQJ6U1MVXOaj8PK2l7WJ3RER9xtqwdhxkhw/edit?usp=sharing"",""ชัยนาท!J325"")"),0.0)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IFERROR(__xludf.DUMMYFUNCTION("IMPORTRANGE(""https://docs.google.com/spreadsheets/d/1SX6NBoVAgQJ6U1MVXOaj8PK2l7WJ3RER9xtqwdhxkhw/edit?usp=sharing"",""ชัยนาท!I326"")"),30.0)</f>
        <v>30</v>
      </c>
      <c r="J431" s="427">
        <f>IFERROR(__xludf.DUMMYFUNCTION("IMPORTRANGE(""https://docs.google.com/spreadsheets/d/1SX6NBoVAgQJ6U1MVXOaj8PK2l7WJ3RER9xtqwdhxkhw/edit?usp=sharing"",""ชัยนาท!J326"")"),0.0)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IFERROR(__xludf.DUMMYFUNCTION("IMPORTRANGE(""https://docs.google.com/spreadsheets/d/1SX6NBoVAgQJ6U1MVXOaj8PK2l7WJ3RER9xtqwdhxkhw/edit?usp=sharing"",""ชัยนาท!I327"")"),25.0)</f>
        <v>25</v>
      </c>
      <c r="J432" s="427">
        <f>IFERROR(__xludf.DUMMYFUNCTION("IMPORTRANGE(""https://docs.google.com/spreadsheets/d/1SX6NBoVAgQJ6U1MVXOaj8PK2l7WJ3RER9xtqwdhxkhw/edit?usp=sharing"",""ชัยนาท!J327"")"),0.0)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IFERROR(__xludf.DUMMYFUNCTION("IMPORTRANGE(""https://docs.google.com/spreadsheets/d/1SX6NBoVAgQJ6U1MVXOaj8PK2l7WJ3RER9xtqwdhxkhw/edit?usp=sharing"",""ชัยนาท!J328"")"),0.0)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IFERROR(__xludf.DUMMYFUNCTION("IMPORTRANGE(""https://docs.google.com/spreadsheets/d/1SX6NBoVAgQJ6U1MVXOaj8PK2l7WJ3RER9xtqwdhxkhw/edit?usp=sharing"",""ชัยนาท!J329"")"),0.0)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IFERROR(__xludf.DUMMYFUNCTION("IMPORTRANGE(""https://docs.google.com/spreadsheets/d/1SX6NBoVAgQJ6U1MVXOaj8PK2l7WJ3RER9xtqwdhxkhw/edit?usp=sharing"",""ชัยนาท!I330"")"),15.0)</f>
        <v>15</v>
      </c>
      <c r="J435" s="443">
        <f>IFERROR(__xludf.DUMMYFUNCTION("IMPORTRANGE(""https://docs.google.com/spreadsheets/d/1SX6NBoVAgQJ6U1MVXOaj8PK2l7WJ3RER9xtqwdhxkhw/edit?usp=sharing"",""ชัยนาท!J330"")"),0.0)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IFERROR(__xludf.DUMMYFUNCTION("IMPORTRANGE(""https://docs.google.com/spreadsheets/d/1SX6NBoVAgQJ6U1MVXOaj8PK2l7WJ3RER9xtqwdhxkhw/edit?usp=sharing"",""ชัยนาท!L330"")"),83000.0)</f>
        <v>83000</v>
      </c>
      <c r="M435" s="445"/>
      <c r="N435" s="445">
        <f>IFERROR(__xludf.DUMMYFUNCTION("IMPORTRANGE(""https://docs.google.com/spreadsheets/d/1SX6NBoVAgQJ6U1MVXOaj8PK2l7WJ3RER9xtqwdhxkhw/edit?usp=sharing"",""ชัยนาท!M330"")"),58040.0)</f>
        <v>58040</v>
      </c>
      <c r="O435" s="445">
        <f t="shared" ref="O435:O439" si="115">+IF(L435&gt;0,N435*100/L435,0)</f>
        <v>69.92771084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IFERROR(__xludf.DUMMYFUNCTION("IMPORTRANGE(""https://docs.google.com/spreadsheets/d/1SX6NBoVAgQJ6U1MVXOaj8PK2l7WJ3RER9xtqwdhxkhw/edit?usp=sharing"",""ชัยนาท!L331"")"),0.0)</f>
        <v>0</v>
      </c>
      <c r="M436" s="197"/>
      <c r="N436" s="203">
        <f>IFERROR(__xludf.DUMMYFUNCTION("IMPORTRANGE(""https://docs.google.com/spreadsheets/d/1SX6NBoVAgQJ6U1MVXOaj8PK2l7WJ3RER9xtqwdhxkhw/edit?usp=sharing"",""ชัยนาท!M331"")"),0.0)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IFERROR(__xludf.DUMMYFUNCTION("IMPORTRANGE(""https://docs.google.com/spreadsheets/d/1SX6NBoVAgQJ6U1MVXOaj8PK2l7WJ3RER9xtqwdhxkhw/edit?usp=sharing"",""ชัยนาท!L332"")"),83000.0)</f>
        <v>83000</v>
      </c>
      <c r="M437" s="198"/>
      <c r="N437" s="203">
        <f>IFERROR(__xludf.DUMMYFUNCTION("IMPORTRANGE(""https://docs.google.com/spreadsheets/d/1SX6NBoVAgQJ6U1MVXOaj8PK2l7WJ3RER9xtqwdhxkhw/edit?usp=sharing"",""ชัยนาท!M332"")"),58040.0)</f>
        <v>58040</v>
      </c>
      <c r="O437" s="203">
        <f t="shared" si="115"/>
        <v>69.92771084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IFERROR(__xludf.DUMMYFUNCTION("IMPORTRANGE(""https://docs.google.com/spreadsheets/d/1SX6NBoVAgQJ6U1MVXOaj8PK2l7WJ3RER9xtqwdhxkhw/edit?usp=sharing"",""ชัยนาท!L333"")"),0.0)</f>
        <v>0</v>
      </c>
      <c r="M438" s="203"/>
      <c r="N438" s="203">
        <f>IFERROR(__xludf.DUMMYFUNCTION("IMPORTRANGE(""https://docs.google.com/spreadsheets/d/1SX6NBoVAgQJ6U1MVXOaj8PK2l7WJ3RER9xtqwdhxkhw/edit?usp=sharing"",""ชัยนาท!M333"")"),0.0)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IFERROR(__xludf.DUMMYFUNCTION("IMPORTRANGE(""https://docs.google.com/spreadsheets/d/1SX6NBoVAgQJ6U1MVXOaj8PK2l7WJ3RER9xtqwdhxkhw/edit?usp=sharing"",""ชัยนาท!L334"")"),83000.0)</f>
        <v>83000</v>
      </c>
      <c r="M439" s="203"/>
      <c r="N439" s="203">
        <f>IFERROR(__xludf.DUMMYFUNCTION("IMPORTRANGE(""https://docs.google.com/spreadsheets/d/1SX6NBoVAgQJ6U1MVXOaj8PK2l7WJ3RER9xtqwdhxkhw/edit?usp=sharing"",""ชัยนาท!M334"")"),58040.0)</f>
        <v>58040</v>
      </c>
      <c r="O439" s="203">
        <f t="shared" si="115"/>
        <v>69.92771084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IFERROR(__xludf.DUMMYFUNCTION("IMPORTRANGE(""https://docs.google.com/spreadsheets/d/1SX6NBoVAgQJ6U1MVXOaj8PK2l7WJ3RER9xtqwdhxkhw/edit?usp=sharing"",""ชัยนาท!M335"")"),32200.0)</f>
        <v>32200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IFERROR(__xludf.DUMMYFUNCTION("IMPORTRANGE(""https://docs.google.com/spreadsheets/d/1SX6NBoVAgQJ6U1MVXOaj8PK2l7WJ3RER9xtqwdhxkhw/edit?usp=sharing"",""ชัยนาท!M336"")"),0.0)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IFERROR(__xludf.DUMMYFUNCTION("IMPORTRANGE(""https://docs.google.com/spreadsheets/d/1SX6NBoVAgQJ6U1MVXOaj8PK2l7WJ3RER9xtqwdhxkhw/edit?usp=sharing"",""ชัยนาท!M337"")"),0.0)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IFERROR(__xludf.DUMMYFUNCTION("IMPORTRANGE(""https://docs.google.com/spreadsheets/d/1SX6NBoVAgQJ6U1MVXOaj8PK2l7WJ3RER9xtqwdhxkhw/edit?usp=sharing"",""ชัยนาท!M338"")"),25840.0)</f>
        <v>25840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IFERROR(__xludf.DUMMYFUNCTION("IMPORTRANGE(""https://docs.google.com/spreadsheets/d/1SX6NBoVAgQJ6U1MVXOaj8PK2l7WJ3RER9xtqwdhxkhw/edit?usp=sharing"",""ชัยนาท!J340"")"),0.0)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IFERROR(__xludf.DUMMYFUNCTION("IMPORTRANGE(""https://docs.google.com/spreadsheets/d/1SX6NBoVAgQJ6U1MVXOaj8PK2l7WJ3RER9xtqwdhxkhw/edit?usp=sharing"",""ชัยนาท!J341"")"),1.0)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IFERROR(__xludf.DUMMYFUNCTION("IMPORTRANGE(""https://docs.google.com/spreadsheets/d/1SX6NBoVAgQJ6U1MVXOaj8PK2l7WJ3RER9xtqwdhxkhw/edit?usp=sharing"",""ชัยนาท!J342"")"),1.0)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IFERROR(__xludf.DUMMYFUNCTION("IMPORTRANGE(""https://docs.google.com/spreadsheets/d/1SX6NBoVAgQJ6U1MVXOaj8PK2l7WJ3RER9xtqwdhxkhw/edit?usp=sharing"",""ชัยนาท!J343"")"),1.0)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IFERROR(__xludf.DUMMYFUNCTION("IMPORTRANGE(""https://docs.google.com/spreadsheets/d/1SX6NBoVAgQJ6U1MVXOaj8PK2l7WJ3RER9xtqwdhxkhw/edit?usp=sharing"",""ชัยนาท!I344"")"),15.0)</f>
        <v>15</v>
      </c>
      <c r="J449" s="235">
        <f>IFERROR(__xludf.DUMMYFUNCTION("IMPORTRANGE(""https://docs.google.com/spreadsheets/d/1SX6NBoVAgQJ6U1MVXOaj8PK2l7WJ3RER9xtqwdhxkhw/edit?usp=sharing"",""ชัยนาท!J344"")"),0.0)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IFERROR(__xludf.DUMMYFUNCTION("IMPORTRANGE(""https://docs.google.com/spreadsheets/d/1SX6NBoVAgQJ6U1MVXOaj8PK2l7WJ3RER9xtqwdhxkhw/edit?usp=sharing"",""ชัยนาท!I345"")"),15.0)</f>
        <v>15</v>
      </c>
      <c r="J450" s="223">
        <f>IFERROR(__xludf.DUMMYFUNCTION("IMPORTRANGE(""https://docs.google.com/spreadsheets/d/1SX6NBoVAgQJ6U1MVXOaj8PK2l7WJ3RER9xtqwdhxkhw/edit?usp=sharing"",""ชัยนาท!J345"")"),0.0)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IFERROR(__xludf.DUMMYFUNCTION("IMPORTRANGE(""https://docs.google.com/spreadsheets/d/1SX6NBoVAgQJ6U1MVXOaj8PK2l7WJ3RER9xtqwdhxkhw/edit?usp=sharing"",""ชัยนาท!I346"")"),0.0)</f>
        <v>0</v>
      </c>
      <c r="J451" s="222">
        <f>IFERROR(__xludf.DUMMYFUNCTION("IMPORTRANGE(""https://docs.google.com/spreadsheets/d/1SX6NBoVAgQJ6U1MVXOaj8PK2l7WJ3RER9xtqwdhxkhw/edit?usp=sharing"",""ชัยนาท!J346"")"),0.0)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IFERROR(__xludf.DUMMYFUNCTION("IMPORTRANGE(""https://docs.google.com/spreadsheets/d/1SX6NBoVAgQJ6U1MVXOaj8PK2l7WJ3RER9xtqwdhxkhw/edit?usp=sharing"",""ชัยนาท!I347"")"),0.0)</f>
        <v>0</v>
      </c>
      <c r="J452" s="222">
        <f>IFERROR(__xludf.DUMMYFUNCTION("IMPORTRANGE(""https://docs.google.com/spreadsheets/d/1SX6NBoVAgQJ6U1MVXOaj8PK2l7WJ3RER9xtqwdhxkhw/edit?usp=sharing"",""ชัยนาท!J347"")"),0.0)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IFERROR(__xludf.DUMMYFUNCTION("IMPORTRANGE(""https://docs.google.com/spreadsheets/d/1SX6NBoVAgQJ6U1MVXOaj8PK2l7WJ3RER9xtqwdhxkhw/edit?usp=sharing"",""ชัยนาท!J348"")"),0.0)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IFERROR(__xludf.DUMMYFUNCTION("IMPORTRANGE(""https://docs.google.com/spreadsheets/d/1SX6NBoVAgQJ6U1MVXOaj8PK2l7WJ3RER9xtqwdhxkhw/edit?usp=sharing"",""ชัยนาท!J349"")"),0.0)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IFERROR(__xludf.DUMMYFUNCTION("IMPORTRANGE(""https://docs.google.com/spreadsheets/d/1SX6NBoVAgQJ6U1MVXOaj8PK2l7WJ3RER9xtqwdhxkhw/edit?usp=sharing"",""ชัยนาท!I350"")"),5880.0)</f>
        <v>5880</v>
      </c>
      <c r="J455" s="404">
        <f>IFERROR(__xludf.DUMMYFUNCTION("IMPORTRANGE(""https://docs.google.com/spreadsheets/d/1SX6NBoVAgQJ6U1MVXOaj8PK2l7WJ3RER9xtqwdhxkhw/edit?usp=sharing"",""ชัยนาท!J350"")"),0.0)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IFERROR(__xludf.DUMMYFUNCTION("IMPORTRANGE(""https://docs.google.com/spreadsheets/d/1SX6NBoVAgQJ6U1MVXOaj8PK2l7WJ3RER9xtqwdhxkhw/edit?usp=sharing"",""ชัยนาท!L350"")"),98174.0)</f>
        <v>98174</v>
      </c>
      <c r="M455" s="406"/>
      <c r="N455" s="406">
        <f>IFERROR(__xludf.DUMMYFUNCTION("IMPORTRANGE(""https://docs.google.com/spreadsheets/d/1SX6NBoVAgQJ6U1MVXOaj8PK2l7WJ3RER9xtqwdhxkhw/edit?usp=sharing"",""ชัยนาท!M350"")"),7640.0)</f>
        <v>7640</v>
      </c>
      <c r="O455" s="406">
        <f t="shared" ref="O455:O459" si="117">+IF(L455&gt;0,N455*100/L455,0)</f>
        <v>7.782101167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IFERROR(__xludf.DUMMYFUNCTION("IMPORTRANGE(""https://docs.google.com/spreadsheets/d/1SX6NBoVAgQJ6U1MVXOaj8PK2l7WJ3RER9xtqwdhxkhw/edit?usp=sharing"",""ชัยนาท!L351"")"),0.0)</f>
        <v>0</v>
      </c>
      <c r="M456" s="197"/>
      <c r="N456" s="203">
        <f>IFERROR(__xludf.DUMMYFUNCTION("IMPORTRANGE(""https://docs.google.com/spreadsheets/d/1SX6NBoVAgQJ6U1MVXOaj8PK2l7WJ3RER9xtqwdhxkhw/edit?usp=sharing"",""ชัยนาท!M351"")"),0.0)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IFERROR(__xludf.DUMMYFUNCTION("IMPORTRANGE(""https://docs.google.com/spreadsheets/d/1SX6NBoVAgQJ6U1MVXOaj8PK2l7WJ3RER9xtqwdhxkhw/edit?usp=sharing"",""ชัยนาท!L352"")"),98174.0)</f>
        <v>98174</v>
      </c>
      <c r="M457" s="198"/>
      <c r="N457" s="203">
        <f>IFERROR(__xludf.DUMMYFUNCTION("IMPORTRANGE(""https://docs.google.com/spreadsheets/d/1SX6NBoVAgQJ6U1MVXOaj8PK2l7WJ3RER9xtqwdhxkhw/edit?usp=sharing"",""ชัยนาท!M352"")"),7640.0)</f>
        <v>7640</v>
      </c>
      <c r="O457" s="203">
        <f t="shared" si="117"/>
        <v>7.782101167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IFERROR(__xludf.DUMMYFUNCTION("IMPORTRANGE(""https://docs.google.com/spreadsheets/d/1SX6NBoVAgQJ6U1MVXOaj8PK2l7WJ3RER9xtqwdhxkhw/edit?usp=sharing"",""ชัยนาท!L353"")"),0.0)</f>
        <v>0</v>
      </c>
      <c r="M458" s="203"/>
      <c r="N458" s="203">
        <f>IFERROR(__xludf.DUMMYFUNCTION("IMPORTRANGE(""https://docs.google.com/spreadsheets/d/1SX6NBoVAgQJ6U1MVXOaj8PK2l7WJ3RER9xtqwdhxkhw/edit?usp=sharing"",""ชัยนาท!M353"")"),0.0)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IFERROR(__xludf.DUMMYFUNCTION("IMPORTRANGE(""https://docs.google.com/spreadsheets/d/1SX6NBoVAgQJ6U1MVXOaj8PK2l7WJ3RER9xtqwdhxkhw/edit?usp=sharing"",""ชัยนาท!L354"")"),98174.0)</f>
        <v>98174</v>
      </c>
      <c r="M459" s="203"/>
      <c r="N459" s="203">
        <f>IFERROR(__xludf.DUMMYFUNCTION("IMPORTRANGE(""https://docs.google.com/spreadsheets/d/1SX6NBoVAgQJ6U1MVXOaj8PK2l7WJ3RER9xtqwdhxkhw/edit?usp=sharing"",""ชัยนาท!M354"")"),7640.0)</f>
        <v>7640</v>
      </c>
      <c r="O459" s="203">
        <f t="shared" si="117"/>
        <v>7.782101167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IFERROR(__xludf.DUMMYFUNCTION("IMPORTRANGE(""https://docs.google.com/spreadsheets/d/1SX6NBoVAgQJ6U1MVXOaj8PK2l7WJ3RER9xtqwdhxkhw/edit?usp=sharing"",""ชัยนาท!M355"")"),0.0)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IFERROR(__xludf.DUMMYFUNCTION("IMPORTRANGE(""https://docs.google.com/spreadsheets/d/1SX6NBoVAgQJ6U1MVXOaj8PK2l7WJ3RER9xtqwdhxkhw/edit?usp=sharing"",""ชัยนาท!M356"")"),0.0)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IFERROR(__xludf.DUMMYFUNCTION("IMPORTRANGE(""https://docs.google.com/spreadsheets/d/1SX6NBoVAgQJ6U1MVXOaj8PK2l7WJ3RER9xtqwdhxkhw/edit?usp=sharing"",""ชัยนาท!M357"")"),0.0)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IFERROR(__xludf.DUMMYFUNCTION("IMPORTRANGE(""https://docs.google.com/spreadsheets/d/1SX6NBoVAgQJ6U1MVXOaj8PK2l7WJ3RER9xtqwdhxkhw/edit?usp=sharing"",""ชัยนาท!M358"")"),7640.0)</f>
        <v>7640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IFERROR(__xludf.DUMMYFUNCTION("IMPORTRANGE(""https://docs.google.com/spreadsheets/d/1SX6NBoVAgQJ6U1MVXOaj8PK2l7WJ3RER9xtqwdhxkhw/edit?usp=sharing"",""ชัยนาท!I359"")"),5880.0)</f>
        <v>5880</v>
      </c>
      <c r="J464" s="301">
        <f>IFERROR(__xludf.DUMMYFUNCTION("IMPORTRANGE(""https://docs.google.com/spreadsheets/d/1SX6NBoVAgQJ6U1MVXOaj8PK2l7WJ3RER9xtqwdhxkhw/edit?usp=sharing"",""ชัยนาท!J359"")"),0.0)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IFERROR(__xludf.DUMMYFUNCTION("IMPORTRANGE(""https://docs.google.com/spreadsheets/d/1SX6NBoVAgQJ6U1MVXOaj8PK2l7WJ3RER9xtqwdhxkhw/edit?usp=sharing"",""ชัยนาท!I360"")"),5880.0)</f>
        <v>5880</v>
      </c>
      <c r="J465" s="453">
        <f>IFERROR(__xludf.DUMMYFUNCTION("IMPORTRANGE(""https://docs.google.com/spreadsheets/d/1SX6NBoVAgQJ6U1MVXOaj8PK2l7WJ3RER9xtqwdhxkhw/edit?usp=sharing"",""ชัยนาท!J360"")"),0.0)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IFERROR(__xludf.DUMMYFUNCTION("IMPORTRANGE(""https://docs.google.com/spreadsheets/d/1SX6NBoVAgQJ6U1MVXOaj8PK2l7WJ3RER9xtqwdhxkhw/edit?usp=sharing"",""ชัยนาท!I361"")"),321.0)</f>
        <v>321</v>
      </c>
      <c r="J466" s="453">
        <f>IFERROR(__xludf.DUMMYFUNCTION("IMPORTRANGE(""https://docs.google.com/spreadsheets/d/1SX6NBoVAgQJ6U1MVXOaj8PK2l7WJ3RER9xtqwdhxkhw/edit?usp=sharing"",""ชัยนาท!J361"")"),0.0)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IFERROR(__xludf.DUMMYFUNCTION("IMPORTRANGE(""https://docs.google.com/spreadsheets/d/1SX6NBoVAgQJ6U1MVXOaj8PK2l7WJ3RER9xtqwdhxkhw/edit?usp=sharing"",""ชัยนาท!I362"")"),0.0)</f>
        <v>0</v>
      </c>
      <c r="J467" s="223">
        <f>IFERROR(__xludf.DUMMYFUNCTION("IMPORTRANGE(""https://docs.google.com/spreadsheets/d/1SX6NBoVAgQJ6U1MVXOaj8PK2l7WJ3RER9xtqwdhxkhw/edit?usp=sharing"",""ชัยนาท!J362"")"),0.0)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IFERROR(__xludf.DUMMYFUNCTION("IMPORTRANGE(""https://docs.google.com/spreadsheets/d/1SX6NBoVAgQJ6U1MVXOaj8PK2l7WJ3RER9xtqwdhxkhw/edit?usp=sharing"",""ชัยนาท!I363"")"),0.0)</f>
        <v>0</v>
      </c>
      <c r="J468" s="223">
        <f>IFERROR(__xludf.DUMMYFUNCTION("IMPORTRANGE(""https://docs.google.com/spreadsheets/d/1SX6NBoVAgQJ6U1MVXOaj8PK2l7WJ3RER9xtqwdhxkhw/edit?usp=sharing"",""ชัยนาท!J363"")"),0.0)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IFERROR(__xludf.DUMMYFUNCTION("IMPORTRANGE(""https://docs.google.com/spreadsheets/d/1SX6NBoVAgQJ6U1MVXOaj8PK2l7WJ3RER9xtqwdhxkhw/edit?usp=sharing"",""ชัยนาท!I364"")"),0.0)</f>
        <v>0</v>
      </c>
      <c r="J469" s="223">
        <f>IFERROR(__xludf.DUMMYFUNCTION("IMPORTRANGE(""https://docs.google.com/spreadsheets/d/1SX6NBoVAgQJ6U1MVXOaj8PK2l7WJ3RER9xtqwdhxkhw/edit?usp=sharing"",""ชัยนาท!J364"")"),0.0)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IFERROR(__xludf.DUMMYFUNCTION("IMPORTRANGE(""https://docs.google.com/spreadsheets/d/1SX6NBoVAgQJ6U1MVXOaj8PK2l7WJ3RER9xtqwdhxkhw/edit?usp=sharing"",""ชัยนาท!I365"")"),0.0)</f>
        <v>0</v>
      </c>
      <c r="J470" s="223">
        <f>IFERROR(__xludf.DUMMYFUNCTION("IMPORTRANGE(""https://docs.google.com/spreadsheets/d/1SX6NBoVAgQJ6U1MVXOaj8PK2l7WJ3RER9xtqwdhxkhw/edit?usp=sharing"",""ชัยนาท!J365"")"),0.0)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IFERROR(__xludf.DUMMYFUNCTION("IMPORTRANGE(""https://docs.google.com/spreadsheets/d/1SX6NBoVAgQJ6U1MVXOaj8PK2l7WJ3RER9xtqwdhxkhw/edit?usp=sharing"",""ชัยนาท!I366"")"),0.0)</f>
        <v>0</v>
      </c>
      <c r="J471" s="223">
        <f>IFERROR(__xludf.DUMMYFUNCTION("IMPORTRANGE(""https://docs.google.com/spreadsheets/d/1SX6NBoVAgQJ6U1MVXOaj8PK2l7WJ3RER9xtqwdhxkhw/edit?usp=sharing"",""ชัยนาท!J366"")"),0.0)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IFERROR(__xludf.DUMMYFUNCTION("IMPORTRANGE(""https://docs.google.com/spreadsheets/d/1SX6NBoVAgQJ6U1MVXOaj8PK2l7WJ3RER9xtqwdhxkhw/edit?usp=sharing"",""ชัยนาท!I367"")"),0.0)</f>
        <v>0</v>
      </c>
      <c r="J472" s="223">
        <f>IFERROR(__xludf.DUMMYFUNCTION("IMPORTRANGE(""https://docs.google.com/spreadsheets/d/1SX6NBoVAgQJ6U1MVXOaj8PK2l7WJ3RER9xtqwdhxkhw/edit?usp=sharing"",""ชัยนาท!J367"")"),0.0)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IFERROR(__xludf.DUMMYFUNCTION("IMPORTRANGE(""https://docs.google.com/spreadsheets/d/1SX6NBoVAgQJ6U1MVXOaj8PK2l7WJ3RER9xtqwdhxkhw/edit?usp=sharing"",""ชัยนาท!I368"")"),5880.0)</f>
        <v>5880</v>
      </c>
      <c r="J473" s="453">
        <f>IFERROR(__xludf.DUMMYFUNCTION("IMPORTRANGE(""https://docs.google.com/spreadsheets/d/1SX6NBoVAgQJ6U1MVXOaj8PK2l7WJ3RER9xtqwdhxkhw/edit?usp=sharing"",""ชัยนาท!J368"")"),0.0)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IFERROR(__xludf.DUMMYFUNCTION("IMPORTRANGE(""https://docs.google.com/spreadsheets/d/1SX6NBoVAgQJ6U1MVXOaj8PK2l7WJ3RER9xtqwdhxkhw/edit?usp=sharing"",""ชัยนาท!I369"")"),321.0)</f>
        <v>321</v>
      </c>
      <c r="J474" s="453">
        <f>IFERROR(__xludf.DUMMYFUNCTION("IMPORTRANGE(""https://docs.google.com/spreadsheets/d/1SX6NBoVAgQJ6U1MVXOaj8PK2l7WJ3RER9xtqwdhxkhw/edit?usp=sharing"",""ชัยนาท!J369"")"),0.0)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IFERROR(__xludf.DUMMYFUNCTION("IMPORTRANGE(""https://docs.google.com/spreadsheets/d/1SX6NBoVAgQJ6U1MVXOaj8PK2l7WJ3RER9xtqwdhxkhw/edit?usp=sharing"",""ชัยนาท!I370"")"),0.0)</f>
        <v>0</v>
      </c>
      <c r="J475" s="223">
        <f>IFERROR(__xludf.DUMMYFUNCTION("IMPORTRANGE(""https://docs.google.com/spreadsheets/d/1SX6NBoVAgQJ6U1MVXOaj8PK2l7WJ3RER9xtqwdhxkhw/edit?usp=sharing"",""ชัยนาท!J370"")"),0.0)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IFERROR(__xludf.DUMMYFUNCTION("IMPORTRANGE(""https://docs.google.com/spreadsheets/d/1SX6NBoVAgQJ6U1MVXOaj8PK2l7WJ3RER9xtqwdhxkhw/edit?usp=sharing"",""ชัยนาท!I371"")"),0.0)</f>
        <v>0</v>
      </c>
      <c r="J476" s="223">
        <f>IFERROR(__xludf.DUMMYFUNCTION("IMPORTRANGE(""https://docs.google.com/spreadsheets/d/1SX6NBoVAgQJ6U1MVXOaj8PK2l7WJ3RER9xtqwdhxkhw/edit?usp=sharing"",""ชัยนาท!J371"")"),0.0)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IFERROR(__xludf.DUMMYFUNCTION("IMPORTRANGE(""https://docs.google.com/spreadsheets/d/1SX6NBoVAgQJ6U1MVXOaj8PK2l7WJ3RER9xtqwdhxkhw/edit?usp=sharing"",""ชัยนาท!I372"")"),0.0)</f>
        <v>0</v>
      </c>
      <c r="J477" s="223">
        <f>IFERROR(__xludf.DUMMYFUNCTION("IMPORTRANGE(""https://docs.google.com/spreadsheets/d/1SX6NBoVAgQJ6U1MVXOaj8PK2l7WJ3RER9xtqwdhxkhw/edit?usp=sharing"",""ชัยนาท!J372"")"),0.0)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IFERROR(__xludf.DUMMYFUNCTION("IMPORTRANGE(""https://docs.google.com/spreadsheets/d/1SX6NBoVAgQJ6U1MVXOaj8PK2l7WJ3RER9xtqwdhxkhw/edit?usp=sharing"",""ชัยนาท!I373"")"),0.0)</f>
        <v>0</v>
      </c>
      <c r="J478" s="223">
        <f>IFERROR(__xludf.DUMMYFUNCTION("IMPORTRANGE(""https://docs.google.com/spreadsheets/d/1SX6NBoVAgQJ6U1MVXOaj8PK2l7WJ3RER9xtqwdhxkhw/edit?usp=sharing"",""ชัยนาท!J373"")"),0.0)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IFERROR(__xludf.DUMMYFUNCTION("IMPORTRANGE(""https://docs.google.com/spreadsheets/d/1SX6NBoVAgQJ6U1MVXOaj8PK2l7WJ3RER9xtqwdhxkhw/edit?usp=sharing"",""ชัยนาท!I374"")"),0.0)</f>
        <v>0</v>
      </c>
      <c r="J479" s="223">
        <f>IFERROR(__xludf.DUMMYFUNCTION("IMPORTRANGE(""https://docs.google.com/spreadsheets/d/1SX6NBoVAgQJ6U1MVXOaj8PK2l7WJ3RER9xtqwdhxkhw/edit?usp=sharing"",""ชัยนาท!J374"")"),0.0)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IFERROR(__xludf.DUMMYFUNCTION("IMPORTRANGE(""https://docs.google.com/spreadsheets/d/1SX6NBoVAgQJ6U1MVXOaj8PK2l7WJ3RER9xtqwdhxkhw/edit?usp=sharing"",""ชัยนาท!I375"")"),0.0)</f>
        <v>0</v>
      </c>
      <c r="J480" s="223">
        <f>IFERROR(__xludf.DUMMYFUNCTION("IMPORTRANGE(""https://docs.google.com/spreadsheets/d/1SX6NBoVAgQJ6U1MVXOaj8PK2l7WJ3RER9xtqwdhxkhw/edit?usp=sharing"",""ชัยนาท!J375"")"),0.0)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IFERROR(__xludf.DUMMYFUNCTION("IMPORTRANGE(""https://docs.google.com/spreadsheets/d/1SX6NBoVAgQJ6U1MVXOaj8PK2l7WJ3RER9xtqwdhxkhw/edit?usp=sharing"",""ชัยนาท!I376"")"),5880.0)</f>
        <v>5880</v>
      </c>
      <c r="J481" s="453">
        <f>IFERROR(__xludf.DUMMYFUNCTION("IMPORTRANGE(""https://docs.google.com/spreadsheets/d/1SX6NBoVAgQJ6U1MVXOaj8PK2l7WJ3RER9xtqwdhxkhw/edit?usp=sharing"",""ชัยนาท!J376"")"),0.0)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IFERROR(__xludf.DUMMYFUNCTION("IMPORTRANGE(""https://docs.google.com/spreadsheets/d/1SX6NBoVAgQJ6U1MVXOaj8PK2l7WJ3RER9xtqwdhxkhw/edit?usp=sharing"",""ชัยนาท!I377"")"),321.0)</f>
        <v>321</v>
      </c>
      <c r="J482" s="453">
        <f>IFERROR(__xludf.DUMMYFUNCTION("IMPORTRANGE(""https://docs.google.com/spreadsheets/d/1SX6NBoVAgQJ6U1MVXOaj8PK2l7WJ3RER9xtqwdhxkhw/edit?usp=sharing"",""ชัยนาท!J377"")"),0.0)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IFERROR(__xludf.DUMMYFUNCTION("IMPORTRANGE(""https://docs.google.com/spreadsheets/d/1SX6NBoVAgQJ6U1MVXOaj8PK2l7WJ3RER9xtqwdhxkhw/edit?usp=sharing"",""ชัยนาท!I378"")"),0.0)</f>
        <v>0</v>
      </c>
      <c r="J483" s="223">
        <f>IFERROR(__xludf.DUMMYFUNCTION("IMPORTRANGE(""https://docs.google.com/spreadsheets/d/1SX6NBoVAgQJ6U1MVXOaj8PK2l7WJ3RER9xtqwdhxkhw/edit?usp=sharing"",""ชัยนาท!J378"")"),0.0)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IFERROR(__xludf.DUMMYFUNCTION("IMPORTRANGE(""https://docs.google.com/spreadsheets/d/1SX6NBoVAgQJ6U1MVXOaj8PK2l7WJ3RER9xtqwdhxkhw/edit?usp=sharing"",""ชัยนาท!I379"")"),0.0)</f>
        <v>0</v>
      </c>
      <c r="J484" s="223">
        <f>IFERROR(__xludf.DUMMYFUNCTION("IMPORTRANGE(""https://docs.google.com/spreadsheets/d/1SX6NBoVAgQJ6U1MVXOaj8PK2l7WJ3RER9xtqwdhxkhw/edit?usp=sharing"",""ชัยนาท!J379"")"),0.0)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IFERROR(__xludf.DUMMYFUNCTION("IMPORTRANGE(""https://docs.google.com/spreadsheets/d/1SX6NBoVAgQJ6U1MVXOaj8PK2l7WJ3RER9xtqwdhxkhw/edit?usp=sharing"",""ชัยนาท!I380"")"),0.0)</f>
        <v>0</v>
      </c>
      <c r="J485" s="223">
        <f>IFERROR(__xludf.DUMMYFUNCTION("IMPORTRANGE(""https://docs.google.com/spreadsheets/d/1SX6NBoVAgQJ6U1MVXOaj8PK2l7WJ3RER9xtqwdhxkhw/edit?usp=sharing"",""ชัยนาท!J380"")"),0.0)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IFERROR(__xludf.DUMMYFUNCTION("IMPORTRANGE(""https://docs.google.com/spreadsheets/d/1SX6NBoVAgQJ6U1MVXOaj8PK2l7WJ3RER9xtqwdhxkhw/edit?usp=sharing"",""ชัยนาท!I381"")"),0.0)</f>
        <v>0</v>
      </c>
      <c r="J486" s="223">
        <f>IFERROR(__xludf.DUMMYFUNCTION("IMPORTRANGE(""https://docs.google.com/spreadsheets/d/1SX6NBoVAgQJ6U1MVXOaj8PK2l7WJ3RER9xtqwdhxkhw/edit?usp=sharing"",""ชัยนาท!J381"")"),0.0)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IFERROR(__xludf.DUMMYFUNCTION("IMPORTRANGE(""https://docs.google.com/spreadsheets/d/1SX6NBoVAgQJ6U1MVXOaj8PK2l7WJ3RER9xtqwdhxkhw/edit?usp=sharing"",""ชัยนาท!I382"")"),0.0)</f>
        <v>0</v>
      </c>
      <c r="J487" s="453">
        <f>IFERROR(__xludf.DUMMYFUNCTION("IMPORTRANGE(""https://docs.google.com/spreadsheets/d/1SX6NBoVAgQJ6U1MVXOaj8PK2l7WJ3RER9xtqwdhxkhw/edit?usp=sharing"",""ชัยนาท!J382"")"),0.0)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IFERROR(__xludf.DUMMYFUNCTION("IMPORTRANGE(""https://docs.google.com/spreadsheets/d/1SX6NBoVAgQJ6U1MVXOaj8PK2l7WJ3RER9xtqwdhxkhw/edit?usp=sharing"",""ชัยนาท!I383"")"),0.0)</f>
        <v>0</v>
      </c>
      <c r="J488" s="453">
        <f>IFERROR(__xludf.DUMMYFUNCTION("IMPORTRANGE(""https://docs.google.com/spreadsheets/d/1SX6NBoVAgQJ6U1MVXOaj8PK2l7WJ3RER9xtqwdhxkhw/edit?usp=sharing"",""ชัยนาท!J383"")"),0.0)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IFERROR(__xludf.DUMMYFUNCTION("IMPORTRANGE(""https://docs.google.com/spreadsheets/d/1SX6NBoVAgQJ6U1MVXOaj8PK2l7WJ3RER9xtqwdhxkhw/edit?usp=sharing"",""ชัยนาท!I384"")"),0.0)</f>
        <v>0</v>
      </c>
      <c r="J489" s="223">
        <f>IFERROR(__xludf.DUMMYFUNCTION("IMPORTRANGE(""https://docs.google.com/spreadsheets/d/1SX6NBoVAgQJ6U1MVXOaj8PK2l7WJ3RER9xtqwdhxkhw/edit?usp=sharing"",""ชัยนาท!J384"")"),0.0)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IFERROR(__xludf.DUMMYFUNCTION("IMPORTRANGE(""https://docs.google.com/spreadsheets/d/1SX6NBoVAgQJ6U1MVXOaj8PK2l7WJ3RER9xtqwdhxkhw/edit?usp=sharing"",""ชัยนาท!I385"")"),0.0)</f>
        <v>0</v>
      </c>
      <c r="J490" s="223">
        <f>IFERROR(__xludf.DUMMYFUNCTION("IMPORTRANGE(""https://docs.google.com/spreadsheets/d/1SX6NBoVAgQJ6U1MVXOaj8PK2l7WJ3RER9xtqwdhxkhw/edit?usp=sharing"",""ชัยนาท!J385"")"),0.0)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IFERROR(__xludf.DUMMYFUNCTION("IMPORTRANGE(""https://docs.google.com/spreadsheets/d/1SX6NBoVAgQJ6U1MVXOaj8PK2l7WJ3RER9xtqwdhxkhw/edit?usp=sharing"",""ชัยนาท!I386"")"),0.0)</f>
        <v>0</v>
      </c>
      <c r="J491" s="223">
        <f>IFERROR(__xludf.DUMMYFUNCTION("IMPORTRANGE(""https://docs.google.com/spreadsheets/d/1SX6NBoVAgQJ6U1MVXOaj8PK2l7WJ3RER9xtqwdhxkhw/edit?usp=sharing"",""ชัยนาท!J386"")"),0.0)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IFERROR(__xludf.DUMMYFUNCTION("IMPORTRANGE(""https://docs.google.com/spreadsheets/d/1SX6NBoVAgQJ6U1MVXOaj8PK2l7WJ3RER9xtqwdhxkhw/edit?usp=sharing"",""ชัยนาท!I387"")"),0.0)</f>
        <v>0</v>
      </c>
      <c r="J492" s="223">
        <f>IFERROR(__xludf.DUMMYFUNCTION("IMPORTRANGE(""https://docs.google.com/spreadsheets/d/1SX6NBoVAgQJ6U1MVXOaj8PK2l7WJ3RER9xtqwdhxkhw/edit?usp=sharing"",""ชัยนาท!J387"")"),0.0)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IFERROR(__xludf.DUMMYFUNCTION("IMPORTRANGE(""https://docs.google.com/spreadsheets/d/1SX6NBoVAgQJ6U1MVXOaj8PK2l7WJ3RER9xtqwdhxkhw/edit?usp=sharing"",""ชัยนาท!I388"")"),0.0)</f>
        <v>0</v>
      </c>
      <c r="J493" s="223">
        <f>IFERROR(__xludf.DUMMYFUNCTION("IMPORTRANGE(""https://docs.google.com/spreadsheets/d/1SX6NBoVAgQJ6U1MVXOaj8PK2l7WJ3RER9xtqwdhxkhw/edit?usp=sharing"",""ชัยนาท!J388"")"),0.0)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IFERROR(__xludf.DUMMYFUNCTION("IMPORTRANGE(""https://docs.google.com/spreadsheets/d/1SX6NBoVAgQJ6U1MVXOaj8PK2l7WJ3RER9xtqwdhxkhw/edit?usp=sharing"",""ชัยนาท!I389"")"),0.0)</f>
        <v>0</v>
      </c>
      <c r="J494" s="469">
        <f>IFERROR(__xludf.DUMMYFUNCTION("IMPORTRANGE(""https://docs.google.com/spreadsheets/d/1SX6NBoVAgQJ6U1MVXOaj8PK2l7WJ3RER9xtqwdhxkhw/edit?usp=sharing"",""ชัยนาท!J389"")"),0.0)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IFERROR(__xludf.DUMMYFUNCTION("IMPORTRANGE(""https://docs.google.com/spreadsheets/d/1SX6NBoVAgQJ6U1MVXOaj8PK2l7WJ3RER9xtqwdhxkhw/edit?usp=sharing"",""ชัยนาท!I390"")"),0.0)</f>
        <v>0</v>
      </c>
      <c r="J495" s="469">
        <f>IFERROR(__xludf.DUMMYFUNCTION("IMPORTRANGE(""https://docs.google.com/spreadsheets/d/1SX6NBoVAgQJ6U1MVXOaj8PK2l7WJ3RER9xtqwdhxkhw/edit?usp=sharing"",""ชัยนาท!J390"")"),0.0)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IFERROR(__xludf.DUMMYFUNCTION("IMPORTRANGE(""https://docs.google.com/spreadsheets/d/1SX6NBoVAgQJ6U1MVXOaj8PK2l7WJ3RER9xtqwdhxkhw/edit?usp=sharing"",""ชัยนาท!I391"")"),0.0)</f>
        <v>0</v>
      </c>
      <c r="J496" s="469">
        <f>IFERROR(__xludf.DUMMYFUNCTION("IMPORTRANGE(""https://docs.google.com/spreadsheets/d/1SX6NBoVAgQJ6U1MVXOaj8PK2l7WJ3RER9xtqwdhxkhw/edit?usp=sharing"",""ชัยนาท!J391"")"),0.0)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IFERROR(__xludf.DUMMYFUNCTION("IMPORTRANGE(""https://docs.google.com/spreadsheets/d/1SX6NBoVAgQJ6U1MVXOaj8PK2l7WJ3RER9xtqwdhxkhw/edit?usp=sharing"",""ชัยนาท!I392"")"),116.0)</f>
        <v>116</v>
      </c>
      <c r="J497" s="476">
        <f>IFERROR(__xludf.DUMMYFUNCTION("IMPORTRANGE(""https://docs.google.com/spreadsheets/d/1SX6NBoVAgQJ6U1MVXOaj8PK2l7WJ3RER9xtqwdhxkhw/edit?usp=sharing"",""ชัยนาท!J392"")"),0.0)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IFERROR(__xludf.DUMMYFUNCTION("IMPORTRANGE(""https://docs.google.com/spreadsheets/d/1SX6NBoVAgQJ6U1MVXOaj8PK2l7WJ3RER9xtqwdhxkhw/edit?usp=sharing"",""ชัยนาท!I393"")"),116.0)</f>
        <v>116</v>
      </c>
      <c r="J498" s="453">
        <f>IFERROR(__xludf.DUMMYFUNCTION("IMPORTRANGE(""https://docs.google.com/spreadsheets/d/1SX6NBoVAgQJ6U1MVXOaj8PK2l7WJ3RER9xtqwdhxkhw/edit?usp=sharing"",""ชัยนาท!J393"")"),0.0)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IFERROR(__xludf.DUMMYFUNCTION("IMPORTRANGE(""https://docs.google.com/spreadsheets/d/1SX6NBoVAgQJ6U1MVXOaj8PK2l7WJ3RER9xtqwdhxkhw/edit?usp=sharing"",""ชัยนาท!I394"")"),6.0)</f>
        <v>6</v>
      </c>
      <c r="J499" s="453">
        <f>IFERROR(__xludf.DUMMYFUNCTION("IMPORTRANGE(""https://docs.google.com/spreadsheets/d/1SX6NBoVAgQJ6U1MVXOaj8PK2l7WJ3RER9xtqwdhxkhw/edit?usp=sharing"",""ชัยนาท!J394"")"),0.0)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IFERROR(__xludf.DUMMYFUNCTION("IMPORTRANGE(""https://docs.google.com/spreadsheets/d/1SX6NBoVAgQJ6U1MVXOaj8PK2l7WJ3RER9xtqwdhxkhw/edit?usp=sharing"",""ชัยนาท!I395"")"),0.0)</f>
        <v>0</v>
      </c>
      <c r="J500" s="195">
        <f>IFERROR(__xludf.DUMMYFUNCTION("IMPORTRANGE(""https://docs.google.com/spreadsheets/d/1SX6NBoVAgQJ6U1MVXOaj8PK2l7WJ3RER9xtqwdhxkhw/edit?usp=sharing"",""ชัยนาท!J395"")"),0.0)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IFERROR(__xludf.DUMMYFUNCTION("IMPORTRANGE(""https://docs.google.com/spreadsheets/d/1SX6NBoVAgQJ6U1MVXOaj8PK2l7WJ3RER9xtqwdhxkhw/edit?usp=sharing"",""ชัยนาท!I396"")"),0.0)</f>
        <v>0</v>
      </c>
      <c r="J501" s="195">
        <f>IFERROR(__xludf.DUMMYFUNCTION("IMPORTRANGE(""https://docs.google.com/spreadsheets/d/1SX6NBoVAgQJ6U1MVXOaj8PK2l7WJ3RER9xtqwdhxkhw/edit?usp=sharing"",""ชัยนาท!J396"")"),0.0)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IFERROR(__xludf.DUMMYFUNCTION("IMPORTRANGE(""https://docs.google.com/spreadsheets/d/1SX6NBoVAgQJ6U1MVXOaj8PK2l7WJ3RER9xtqwdhxkhw/edit?usp=sharing"",""ชัยนาท!I397"")"),0.0)</f>
        <v>0</v>
      </c>
      <c r="J502" s="223">
        <f>IFERROR(__xludf.DUMMYFUNCTION("IMPORTRANGE(""https://docs.google.com/spreadsheets/d/1SX6NBoVAgQJ6U1MVXOaj8PK2l7WJ3RER9xtqwdhxkhw/edit?usp=sharing"",""ชัยนาท!J397"")"),0.0)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IFERROR(__xludf.DUMMYFUNCTION("IMPORTRANGE(""https://docs.google.com/spreadsheets/d/1SX6NBoVAgQJ6U1MVXOaj8PK2l7WJ3RER9xtqwdhxkhw/edit?usp=sharing"",""ชัยนาท!I398"")"),0.0)</f>
        <v>0</v>
      </c>
      <c r="J503" s="232">
        <f>IFERROR(__xludf.DUMMYFUNCTION("IMPORTRANGE(""https://docs.google.com/spreadsheets/d/1SX6NBoVAgQJ6U1MVXOaj8PK2l7WJ3RER9xtqwdhxkhw/edit?usp=sharing"",""ชัยนาท!J398"")"),0.0)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IFERROR(__xludf.DUMMYFUNCTION("IMPORTRANGE(""https://docs.google.com/spreadsheets/d/1SX6NBoVAgQJ6U1MVXOaj8PK2l7WJ3RER9xtqwdhxkhw/edit?usp=sharing"",""ชัยนาท!I399"")"),0.0)</f>
        <v>0</v>
      </c>
      <c r="J504" s="223">
        <f>IFERROR(__xludf.DUMMYFUNCTION("IMPORTRANGE(""https://docs.google.com/spreadsheets/d/1SX6NBoVAgQJ6U1MVXOaj8PK2l7WJ3RER9xtqwdhxkhw/edit?usp=sharing"",""ชัยนาท!J399"")"),0.0)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IFERROR(__xludf.DUMMYFUNCTION("IMPORTRANGE(""https://docs.google.com/spreadsheets/d/1SX6NBoVAgQJ6U1MVXOaj8PK2l7WJ3RER9xtqwdhxkhw/edit?usp=sharing"",""ชัยนาท!I400"")"),0.0)</f>
        <v>0</v>
      </c>
      <c r="J505" s="232">
        <f>IFERROR(__xludf.DUMMYFUNCTION("IMPORTRANGE(""https://docs.google.com/spreadsheets/d/1SX6NBoVAgQJ6U1MVXOaj8PK2l7WJ3RER9xtqwdhxkhw/edit?usp=sharing"",""ชัยนาท!J400"")"),0.0)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IFERROR(__xludf.DUMMYFUNCTION("IMPORTRANGE(""https://docs.google.com/spreadsheets/d/1SX6NBoVAgQJ6U1MVXOaj8PK2l7WJ3RER9xtqwdhxkhw/edit?usp=sharing"",""ชัยนาท!I401"")"),0.0)</f>
        <v>0</v>
      </c>
      <c r="J506" s="223">
        <f>IFERROR(__xludf.DUMMYFUNCTION("IMPORTRANGE(""https://docs.google.com/spreadsheets/d/1SX6NBoVAgQJ6U1MVXOaj8PK2l7WJ3RER9xtqwdhxkhw/edit?usp=sharing"",""ชัยนาท!J401"")"),0.0)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IFERROR(__xludf.DUMMYFUNCTION("IMPORTRANGE(""https://docs.google.com/spreadsheets/d/1SX6NBoVAgQJ6U1MVXOaj8PK2l7WJ3RER9xtqwdhxkhw/edit?usp=sharing"",""ชัยนาท!I402"")"),0.0)</f>
        <v>0</v>
      </c>
      <c r="J507" s="232">
        <f>IFERROR(__xludf.DUMMYFUNCTION("IMPORTRANGE(""https://docs.google.com/spreadsheets/d/1SX6NBoVAgQJ6U1MVXOaj8PK2l7WJ3RER9xtqwdhxkhw/edit?usp=sharing"",""ชัยนาท!J402"")"),0.0)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IFERROR(__xludf.DUMMYFUNCTION("IMPORTRANGE(""https://docs.google.com/spreadsheets/d/1SX6NBoVAgQJ6U1MVXOaj8PK2l7WJ3RER9xtqwdhxkhw/edit?usp=sharing"",""ชัยนาท!I403"")"),0.0)</f>
        <v>0</v>
      </c>
      <c r="J508" s="195">
        <f>IFERROR(__xludf.DUMMYFUNCTION("IMPORTRANGE(""https://docs.google.com/spreadsheets/d/1SX6NBoVAgQJ6U1MVXOaj8PK2l7WJ3RER9xtqwdhxkhw/edit?usp=sharing"",""ชัยนาท!J403"")"),0.0)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IFERROR(__xludf.DUMMYFUNCTION("IMPORTRANGE(""https://docs.google.com/spreadsheets/d/1SX6NBoVAgQJ6U1MVXOaj8PK2l7WJ3RER9xtqwdhxkhw/edit?usp=sharing"",""ชัยนาท!I404"")"),0.0)</f>
        <v>0</v>
      </c>
      <c r="J509" s="195">
        <f>IFERROR(__xludf.DUMMYFUNCTION("IMPORTRANGE(""https://docs.google.com/spreadsheets/d/1SX6NBoVAgQJ6U1MVXOaj8PK2l7WJ3RER9xtqwdhxkhw/edit?usp=sharing"",""ชัยนาท!J404"")"),0.0)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IFERROR(__xludf.DUMMYFUNCTION("IMPORTRANGE(""https://docs.google.com/spreadsheets/d/1SX6NBoVAgQJ6U1MVXOaj8PK2l7WJ3RER9xtqwdhxkhw/edit?usp=sharing"",""ชัยนาท!I405"")"),0.0)</f>
        <v>0</v>
      </c>
      <c r="J510" s="232">
        <f>IFERROR(__xludf.DUMMYFUNCTION("IMPORTRANGE(""https://docs.google.com/spreadsheets/d/1SX6NBoVAgQJ6U1MVXOaj8PK2l7WJ3RER9xtqwdhxkhw/edit?usp=sharing"",""ชัยนาท!J405"")"),0.0)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IFERROR(__xludf.DUMMYFUNCTION("IMPORTRANGE(""https://docs.google.com/spreadsheets/d/1SX6NBoVAgQJ6U1MVXOaj8PK2l7WJ3RER9xtqwdhxkhw/edit?usp=sharing"",""ชัยนาท!I406"")"),0.0)</f>
        <v>0</v>
      </c>
      <c r="J511" s="232">
        <f>IFERROR(__xludf.DUMMYFUNCTION("IMPORTRANGE(""https://docs.google.com/spreadsheets/d/1SX6NBoVAgQJ6U1MVXOaj8PK2l7WJ3RER9xtqwdhxkhw/edit?usp=sharing"",""ชัยนาท!J406"")"),0.0)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IFERROR(__xludf.DUMMYFUNCTION("IMPORTRANGE(""https://docs.google.com/spreadsheets/d/1SX6NBoVAgQJ6U1MVXOaj8PK2l7WJ3RER9xtqwdhxkhw/edit?usp=sharing"",""ชัยนาท!I407"")"),0.0)</f>
        <v>0</v>
      </c>
      <c r="J512" s="232">
        <f>IFERROR(__xludf.DUMMYFUNCTION("IMPORTRANGE(""https://docs.google.com/spreadsheets/d/1SX6NBoVAgQJ6U1MVXOaj8PK2l7WJ3RER9xtqwdhxkhw/edit?usp=sharing"",""ชัยนาท!J407"")"),0.0)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IFERROR(__xludf.DUMMYFUNCTION("IMPORTRANGE(""https://docs.google.com/spreadsheets/d/1SX6NBoVAgQJ6U1MVXOaj8PK2l7WJ3RER9xtqwdhxkhw/edit?usp=sharing"",""ชัยนาท!I408"")"),0.0)</f>
        <v>0</v>
      </c>
      <c r="J513" s="232">
        <f>IFERROR(__xludf.DUMMYFUNCTION("IMPORTRANGE(""https://docs.google.com/spreadsheets/d/1SX6NBoVAgQJ6U1MVXOaj8PK2l7WJ3RER9xtqwdhxkhw/edit?usp=sharing"",""ชัยนาท!J408"")"),0.0)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IFERROR(__xludf.DUMMYFUNCTION("IMPORTRANGE(""https://docs.google.com/spreadsheets/d/1SX6NBoVAgQJ6U1MVXOaj8PK2l7WJ3RER9xtqwdhxkhw/edit?usp=sharing"",""ชัยนาท!I409"")"),0.0)</f>
        <v>0</v>
      </c>
      <c r="J514" s="232">
        <f>IFERROR(__xludf.DUMMYFUNCTION("IMPORTRANGE(""https://docs.google.com/spreadsheets/d/1SX6NBoVAgQJ6U1MVXOaj8PK2l7WJ3RER9xtqwdhxkhw/edit?usp=sharing"",""ชัยนาท!J409"")"),0.0)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IFERROR(__xludf.DUMMYFUNCTION("IMPORTRANGE(""https://docs.google.com/spreadsheets/d/1SX6NBoVAgQJ6U1MVXOaj8PK2l7WJ3RER9xtqwdhxkhw/edit?usp=sharing"",""ชัยนาท!I410"")"),0.0)</f>
        <v>0</v>
      </c>
      <c r="J515" s="232">
        <f>IFERROR(__xludf.DUMMYFUNCTION("IMPORTRANGE(""https://docs.google.com/spreadsheets/d/1SX6NBoVAgQJ6U1MVXOaj8PK2l7WJ3RER9xtqwdhxkhw/edit?usp=sharing"",""ชัยนาท!J410"")"),0.0)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IFERROR(__xludf.DUMMYFUNCTION("IMPORTRANGE(""https://docs.google.com/spreadsheets/d/1SX6NBoVAgQJ6U1MVXOaj8PK2l7WJ3RER9xtqwdhxkhw/edit?usp=sharing"",""ชัยนาท!I411"")"),0.0)</f>
        <v>0</v>
      </c>
      <c r="J516" s="301">
        <f>IFERROR(__xludf.DUMMYFUNCTION("IMPORTRANGE(""https://docs.google.com/spreadsheets/d/1SX6NBoVAgQJ6U1MVXOaj8PK2l7WJ3RER9xtqwdhxkhw/edit?usp=sharing"",""ชัยนาท!J411"")"),0.0)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IFERROR(__xludf.DUMMYFUNCTION("IMPORTRANGE(""https://docs.google.com/spreadsheets/d/1SX6NBoVAgQJ6U1MVXOaj8PK2l7WJ3RER9xtqwdhxkhw/edit?usp=sharing"",""ชัยนาท!I412"")"),0.0)</f>
        <v>0</v>
      </c>
      <c r="J517" s="317">
        <f>IFERROR(__xludf.DUMMYFUNCTION("IMPORTRANGE(""https://docs.google.com/spreadsheets/d/1SX6NBoVAgQJ6U1MVXOaj8PK2l7WJ3RER9xtqwdhxkhw/edit?usp=sharing"",""ชัยนาท!J412"")"),0.0)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IFERROR(__xludf.DUMMYFUNCTION("IMPORTRANGE(""https://docs.google.com/spreadsheets/d/1SX6NBoVAgQJ6U1MVXOaj8PK2l7WJ3RER9xtqwdhxkhw/edit?usp=sharing"",""ชัยนาท!I413"")"),0.0)</f>
        <v>0</v>
      </c>
      <c r="J518" s="317">
        <f>IFERROR(__xludf.DUMMYFUNCTION("IMPORTRANGE(""https://docs.google.com/spreadsheets/d/1SX6NBoVAgQJ6U1MVXOaj8PK2l7WJ3RER9xtqwdhxkhw/edit?usp=sharing"",""ชัยนาท!J413"")"),0.0)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IFERROR(__xludf.DUMMYFUNCTION("IMPORTRANGE(""https://docs.google.com/spreadsheets/d/1SX6NBoVAgQJ6U1MVXOaj8PK2l7WJ3RER9xtqwdhxkhw/edit?usp=sharing"",""ชัยนาท!I414"")"),0.0)</f>
        <v>0</v>
      </c>
      <c r="J519" s="222">
        <f>IFERROR(__xludf.DUMMYFUNCTION("IMPORTRANGE(""https://docs.google.com/spreadsheets/d/1SX6NBoVAgQJ6U1MVXOaj8PK2l7WJ3RER9xtqwdhxkhw/edit?usp=sharing"",""ชัยนาท!J414"")"),0.0)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IFERROR(__xludf.DUMMYFUNCTION("IMPORTRANGE(""https://docs.google.com/spreadsheets/d/1SX6NBoVAgQJ6U1MVXOaj8PK2l7WJ3RER9xtqwdhxkhw/edit?usp=sharing"",""ชัยนาท!I415"")"),0.0)</f>
        <v>0</v>
      </c>
      <c r="J520" s="222">
        <f>IFERROR(__xludf.DUMMYFUNCTION("IMPORTRANGE(""https://docs.google.com/spreadsheets/d/1SX6NBoVAgQJ6U1MVXOaj8PK2l7WJ3RER9xtqwdhxkhw/edit?usp=sharing"",""ชัยนาท!J415"")"),0.0)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IFERROR(__xludf.DUMMYFUNCTION("IMPORTRANGE(""https://docs.google.com/spreadsheets/d/1SX6NBoVAgQJ6U1MVXOaj8PK2l7WJ3RER9xtqwdhxkhw/edit?usp=sharing"",""ชัยนาท!I416"")"),0.0)</f>
        <v>0</v>
      </c>
      <c r="J521" s="222">
        <f>IFERROR(__xludf.DUMMYFUNCTION("IMPORTRANGE(""https://docs.google.com/spreadsheets/d/1SX6NBoVAgQJ6U1MVXOaj8PK2l7WJ3RER9xtqwdhxkhw/edit?usp=sharing"",""ชัยนาท!J416"")"),0.0)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IFERROR(__xludf.DUMMYFUNCTION("IMPORTRANGE(""https://docs.google.com/spreadsheets/d/1SX6NBoVAgQJ6U1MVXOaj8PK2l7WJ3RER9xtqwdhxkhw/edit?usp=sharing"",""ชัยนาท!I417"")"),0.0)</f>
        <v>0</v>
      </c>
      <c r="J522" s="222">
        <f>IFERROR(__xludf.DUMMYFUNCTION("IMPORTRANGE(""https://docs.google.com/spreadsheets/d/1SX6NBoVAgQJ6U1MVXOaj8PK2l7WJ3RER9xtqwdhxkhw/edit?usp=sharing"",""ชัยนาท!J417"")"),0.0)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IFERROR(__xludf.DUMMYFUNCTION("IMPORTRANGE(""https://docs.google.com/spreadsheets/d/1SX6NBoVAgQJ6U1MVXOaj8PK2l7WJ3RER9xtqwdhxkhw/edit?usp=sharing"",""ชัยนาท!I418"")"),0.0)</f>
        <v>0</v>
      </c>
      <c r="J523" s="222">
        <f>IFERROR(__xludf.DUMMYFUNCTION("IMPORTRANGE(""https://docs.google.com/spreadsheets/d/1SX6NBoVAgQJ6U1MVXOaj8PK2l7WJ3RER9xtqwdhxkhw/edit?usp=sharing"",""ชัยนาท!J418"")"),0.0)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IFERROR(__xludf.DUMMYFUNCTION("IMPORTRANGE(""https://docs.google.com/spreadsheets/d/1SX6NBoVAgQJ6U1MVXOaj8PK2l7WJ3RER9xtqwdhxkhw/edit?usp=sharing"",""ชัยนาท!I419"")"),0.0)</f>
        <v>0</v>
      </c>
      <c r="J524" s="222">
        <f>IFERROR(__xludf.DUMMYFUNCTION("IMPORTRANGE(""https://docs.google.com/spreadsheets/d/1SX6NBoVAgQJ6U1MVXOaj8PK2l7WJ3RER9xtqwdhxkhw/edit?usp=sharing"",""ชัยนาท!J419"")"),0.0)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IFERROR(__xludf.DUMMYFUNCTION("IMPORTRANGE(""https://docs.google.com/spreadsheets/d/1SX6NBoVAgQJ6U1MVXOaj8PK2l7WJ3RER9xtqwdhxkhw/edit?usp=sharing"",""ชัยนาท!I420"")"),0.0)</f>
        <v>0</v>
      </c>
      <c r="J525" s="317">
        <f>IFERROR(__xludf.DUMMYFUNCTION("IMPORTRANGE(""https://docs.google.com/spreadsheets/d/1SX6NBoVAgQJ6U1MVXOaj8PK2l7WJ3RER9xtqwdhxkhw/edit?usp=sharing"",""ชัยนาท!J420"")"),0.0)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IFERROR(__xludf.DUMMYFUNCTION("IMPORTRANGE(""https://docs.google.com/spreadsheets/d/1SX6NBoVAgQJ6U1MVXOaj8PK2l7WJ3RER9xtqwdhxkhw/edit?usp=sharing"",""ชัยนาท!I421"")"),0.0)</f>
        <v>0</v>
      </c>
      <c r="J526" s="317">
        <f>IFERROR(__xludf.DUMMYFUNCTION("IMPORTRANGE(""https://docs.google.com/spreadsheets/d/1SX6NBoVAgQJ6U1MVXOaj8PK2l7WJ3RER9xtqwdhxkhw/edit?usp=sharing"",""ชัยนาท!J421"")"),0.0)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IFERROR(__xludf.DUMMYFUNCTION("IMPORTRANGE(""https://docs.google.com/spreadsheets/d/1SX6NBoVAgQJ6U1MVXOaj8PK2l7WJ3RER9xtqwdhxkhw/edit?usp=sharing"",""ชัยนาท!I422"")"),0.0)</f>
        <v>0</v>
      </c>
      <c r="J527" s="232">
        <f>IFERROR(__xludf.DUMMYFUNCTION("IMPORTRANGE(""https://docs.google.com/spreadsheets/d/1SX6NBoVAgQJ6U1MVXOaj8PK2l7WJ3RER9xtqwdhxkhw/edit?usp=sharing"",""ชัยนาท!J422"")"),0.0)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IFERROR(__xludf.DUMMYFUNCTION("IMPORTRANGE(""https://docs.google.com/spreadsheets/d/1SX6NBoVAgQJ6U1MVXOaj8PK2l7WJ3RER9xtqwdhxkhw/edit?usp=sharing"",""ชัยนาท!I423"")"),0.0)</f>
        <v>0</v>
      </c>
      <c r="J528" s="232">
        <f>IFERROR(__xludf.DUMMYFUNCTION("IMPORTRANGE(""https://docs.google.com/spreadsheets/d/1SX6NBoVAgQJ6U1MVXOaj8PK2l7WJ3RER9xtqwdhxkhw/edit?usp=sharing"",""ชัยนาท!J423"")"),0.0)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IFERROR(__xludf.DUMMYFUNCTION("IMPORTRANGE(""https://docs.google.com/spreadsheets/d/1SX6NBoVAgQJ6U1MVXOaj8PK2l7WJ3RER9xtqwdhxkhw/edit?usp=sharing"",""ชัยนาท!I424"")"),0.0)</f>
        <v>0</v>
      </c>
      <c r="J529" s="232">
        <f>IFERROR(__xludf.DUMMYFUNCTION("IMPORTRANGE(""https://docs.google.com/spreadsheets/d/1SX6NBoVAgQJ6U1MVXOaj8PK2l7WJ3RER9xtqwdhxkhw/edit?usp=sharing"",""ชัยนาท!J424"")"),0.0)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IFERROR(__xludf.DUMMYFUNCTION("IMPORTRANGE(""https://docs.google.com/spreadsheets/d/1SX6NBoVAgQJ6U1MVXOaj8PK2l7WJ3RER9xtqwdhxkhw/edit?usp=sharing"",""ชัยนาท!I425"")"),0.0)</f>
        <v>0</v>
      </c>
      <c r="J530" s="232">
        <f>IFERROR(__xludf.DUMMYFUNCTION("IMPORTRANGE(""https://docs.google.com/spreadsheets/d/1SX6NBoVAgQJ6U1MVXOaj8PK2l7WJ3RER9xtqwdhxkhw/edit?usp=sharing"",""ชัยนาท!J425"")"),0.0)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IFERROR(__xludf.DUMMYFUNCTION("IMPORTRANGE(""https://docs.google.com/spreadsheets/d/1SX6NBoVAgQJ6U1MVXOaj8PK2l7WJ3RER9xtqwdhxkhw/edit?usp=sharing"",""ชัยนาท!I426"")"),0.0)</f>
        <v>0</v>
      </c>
      <c r="J531" s="232">
        <f>IFERROR(__xludf.DUMMYFUNCTION("IMPORTRANGE(""https://docs.google.com/spreadsheets/d/1SX6NBoVAgQJ6U1MVXOaj8PK2l7WJ3RER9xtqwdhxkhw/edit?usp=sharing"",""ชัยนาท!J426"")"),0.0)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IFERROR(__xludf.DUMMYFUNCTION("IMPORTRANGE(""https://docs.google.com/spreadsheets/d/1SX6NBoVAgQJ6U1MVXOaj8PK2l7WJ3RER9xtqwdhxkhw/edit?usp=sharing"",""ชัยนาท!I427"")"),0.0)</f>
        <v>0</v>
      </c>
      <c r="J532" s="499">
        <f>IFERROR(__xludf.DUMMYFUNCTION("IMPORTRANGE(""https://docs.google.com/spreadsheets/d/1SX6NBoVAgQJ6U1MVXOaj8PK2l7WJ3RER9xtqwdhxkhw/edit?usp=sharing"",""ชัยนาท!J427"")"),0.0)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IFERROR(__xludf.DUMMYFUNCTION("IMPORTRANGE(""https://docs.google.com/spreadsheets/d/1SX6NBoVAgQJ6U1MVXOaj8PK2l7WJ3RER9xtqwdhxkhw/edit?usp=sharing"",""ชัยนาท!I428"")"),22.0)</f>
        <v>22</v>
      </c>
      <c r="J533" s="443">
        <f>IFERROR(__xludf.DUMMYFUNCTION("IMPORTRANGE(""https://docs.google.com/spreadsheets/d/1SX6NBoVAgQJ6U1MVXOaj8PK2l7WJ3RER9xtqwdhxkhw/edit?usp=sharing"",""ชัยนาท!J428"")"),0.0)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IFERROR(__xludf.DUMMYFUNCTION("IMPORTRANGE(""https://docs.google.com/spreadsheets/d/1SX6NBoVAgQJ6U1MVXOaj8PK2l7WJ3RER9xtqwdhxkhw/edit?usp=sharing"",""ชัยนาท!L428"")"),34340.0)</f>
        <v>34340</v>
      </c>
      <c r="M533" s="445"/>
      <c r="N533" s="445">
        <f>IFERROR(__xludf.DUMMYFUNCTION("IMPORTRANGE(""https://docs.google.com/spreadsheets/d/1SX6NBoVAgQJ6U1MVXOaj8PK2l7WJ3RER9xtqwdhxkhw/edit?usp=sharing"",""ชัยนาท!M428"")"),19220.0)</f>
        <v>19220</v>
      </c>
      <c r="O533" s="445">
        <f t="shared" ref="O533:O537" si="119">+IF(L533&gt;0,N533*100/L533,0)</f>
        <v>55.96971462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IFERROR(__xludf.DUMMYFUNCTION("IMPORTRANGE(""https://docs.google.com/spreadsheets/d/1SX6NBoVAgQJ6U1MVXOaj8PK2l7WJ3RER9xtqwdhxkhw/edit?usp=sharing"",""ชัยนาท!L429"")"),0.0)</f>
        <v>0</v>
      </c>
      <c r="M534" s="197"/>
      <c r="N534" s="203">
        <f>IFERROR(__xludf.DUMMYFUNCTION("IMPORTRANGE(""https://docs.google.com/spreadsheets/d/1SX6NBoVAgQJ6U1MVXOaj8PK2l7WJ3RER9xtqwdhxkhw/edit?usp=sharing"",""ชัยนาท!M429"")"),0.0)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IFERROR(__xludf.DUMMYFUNCTION("IMPORTRANGE(""https://docs.google.com/spreadsheets/d/1SX6NBoVAgQJ6U1MVXOaj8PK2l7WJ3RER9xtqwdhxkhw/edit?usp=sharing"",""ชัยนาท!L430"")"),34340.0)</f>
        <v>34340</v>
      </c>
      <c r="M535" s="198"/>
      <c r="N535" s="203">
        <f>IFERROR(__xludf.DUMMYFUNCTION("IMPORTRANGE(""https://docs.google.com/spreadsheets/d/1SX6NBoVAgQJ6U1MVXOaj8PK2l7WJ3RER9xtqwdhxkhw/edit?usp=sharing"",""ชัยนาท!M430"")"),19220.0)</f>
        <v>19220</v>
      </c>
      <c r="O535" s="203">
        <f t="shared" si="119"/>
        <v>55.96971462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IFERROR(__xludf.DUMMYFUNCTION("IMPORTRANGE(""https://docs.google.com/spreadsheets/d/1SX6NBoVAgQJ6U1MVXOaj8PK2l7WJ3RER9xtqwdhxkhw/edit?usp=sharing"",""ชัยนาท!L431"")"),0.0)</f>
        <v>0</v>
      </c>
      <c r="M536" s="203"/>
      <c r="N536" s="203">
        <f>IFERROR(__xludf.DUMMYFUNCTION("IMPORTRANGE(""https://docs.google.com/spreadsheets/d/1SX6NBoVAgQJ6U1MVXOaj8PK2l7WJ3RER9xtqwdhxkhw/edit?usp=sharing"",""ชัยนาท!M431"")"),0.0)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IFERROR(__xludf.DUMMYFUNCTION("IMPORTRANGE(""https://docs.google.com/spreadsheets/d/1SX6NBoVAgQJ6U1MVXOaj8PK2l7WJ3RER9xtqwdhxkhw/edit?usp=sharing"",""ชัยนาท!L432"")"),34340.0)</f>
        <v>34340</v>
      </c>
      <c r="M537" s="203"/>
      <c r="N537" s="203">
        <f>IFERROR(__xludf.DUMMYFUNCTION("IMPORTRANGE(""https://docs.google.com/spreadsheets/d/1SX6NBoVAgQJ6U1MVXOaj8PK2l7WJ3RER9xtqwdhxkhw/edit?usp=sharing"",""ชัยนาท!M432"")"),19220.0)</f>
        <v>19220</v>
      </c>
      <c r="O537" s="203">
        <f t="shared" si="119"/>
        <v>55.96971462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IFERROR(__xludf.DUMMYFUNCTION("IMPORTRANGE(""https://docs.google.com/spreadsheets/d/1SX6NBoVAgQJ6U1MVXOaj8PK2l7WJ3RER9xtqwdhxkhw/edit?usp=sharing"",""ชัยนาท!M433"")"),18740.0)</f>
        <v>18740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IFERROR(__xludf.DUMMYFUNCTION("IMPORTRANGE(""https://docs.google.com/spreadsheets/d/1SX6NBoVAgQJ6U1MVXOaj8PK2l7WJ3RER9xtqwdhxkhw/edit?usp=sharing"",""ชัยนาท!M434"")"),0.0)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IFERROR(__xludf.DUMMYFUNCTION("IMPORTRANGE(""https://docs.google.com/spreadsheets/d/1SX6NBoVAgQJ6U1MVXOaj8PK2l7WJ3RER9xtqwdhxkhw/edit?usp=sharing"",""ชัยนาท!M435"")"),0.0)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IFERROR(__xludf.DUMMYFUNCTION("IMPORTRANGE(""https://docs.google.com/spreadsheets/d/1SX6NBoVAgQJ6U1MVXOaj8PK2l7WJ3RER9xtqwdhxkhw/edit?usp=sharing"",""ชัยนาท!M436"")"),480.0)</f>
        <v>480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IFERROR(__xludf.DUMMYFUNCTION("IMPORTRANGE(""https://docs.google.com/spreadsheets/d/1SX6NBoVAgQJ6U1MVXOaj8PK2l7WJ3RER9xtqwdhxkhw/edit?usp=sharing"",""ชัยนาท!J438"")"),0.0)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IFERROR(__xludf.DUMMYFUNCTION("IMPORTRANGE(""https://docs.google.com/spreadsheets/d/1SX6NBoVAgQJ6U1MVXOaj8PK2l7WJ3RER9xtqwdhxkhw/edit?usp=sharing"",""ชัยนาท!J439"")"),1.0)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IFERROR(__xludf.DUMMYFUNCTION("IMPORTRANGE(""https://docs.google.com/spreadsheets/d/1SX6NBoVAgQJ6U1MVXOaj8PK2l7WJ3RER9xtqwdhxkhw/edit?usp=sharing"",""ชัยนาท!J440"")"),1.0)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IFERROR(__xludf.DUMMYFUNCTION("IMPORTRANGE(""https://docs.google.com/spreadsheets/d/1SX6NBoVAgQJ6U1MVXOaj8PK2l7WJ3RER9xtqwdhxkhw/edit?usp=sharing"",""ชัยนาท!J441"")"),0.0)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IFERROR(__xludf.DUMMYFUNCTION("IMPORTRANGE(""https://docs.google.com/spreadsheets/d/1SX6NBoVAgQJ6U1MVXOaj8PK2l7WJ3RER9xtqwdhxkhw/edit?usp=sharing"",""ชัยนาท!I442"")"),22.0)</f>
        <v>22</v>
      </c>
      <c r="J547" s="223">
        <f>IFERROR(__xludf.DUMMYFUNCTION("IMPORTRANGE(""https://docs.google.com/spreadsheets/d/1SX6NBoVAgQJ6U1MVXOaj8PK2l7WJ3RER9xtqwdhxkhw/edit?usp=sharing"",""ชัยนาท!J442"")"),0.0)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IFERROR(__xludf.DUMMYFUNCTION("IMPORTRANGE(""https://docs.google.com/spreadsheets/d/1SX6NBoVAgQJ6U1MVXOaj8PK2l7WJ3RER9xtqwdhxkhw/edit?usp=sharing"",""ชัยนาท!J166"")"),0.0)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IFERROR(__xludf.DUMMYFUNCTION("IMPORTRANGE(""https://docs.google.com/spreadsheets/d/1SX6NBoVAgQJ6U1MVXOaj8PK2l7WJ3RER9xtqwdhxkhw/edit?usp=sharing"",""ชัยนาท!J444"")"),0.0)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IFERROR(__xludf.DUMMYFUNCTION("IMPORTRANGE(""https://docs.google.com/spreadsheets/d/1SX6NBoVAgQJ6U1MVXOaj8PK2l7WJ3RER9xtqwdhxkhw/edit?usp=sharing"",""ชัยนาท!J445"")"),0.0)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IFERROR(__xludf.DUMMYFUNCTION("IMPORTRANGE(""https://docs.google.com/spreadsheets/d/1SX6NBoVAgQJ6U1MVXOaj8PK2l7WJ3RER9xtqwdhxkhw/edit?usp=sharing"",""ชัยนาท!I446"")"),0.0)</f>
        <v>0</v>
      </c>
      <c r="J551" s="443">
        <f>IFERROR(__xludf.DUMMYFUNCTION("IMPORTRANGE(""https://docs.google.com/spreadsheets/d/1SX6NBoVAgQJ6U1MVXOaj8PK2l7WJ3RER9xtqwdhxkhw/edit?usp=sharing"",""ชัยนาท!J446"")"),0.0)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IFERROR(__xludf.DUMMYFUNCTION("IMPORTRANGE(""https://docs.google.com/spreadsheets/d/1SX6NBoVAgQJ6U1MVXOaj8PK2l7WJ3RER9xtqwdhxkhw/edit?usp=sharing"",""ชัยนาท!L446"")"),0.0)</f>
        <v>0</v>
      </c>
      <c r="M551" s="445"/>
      <c r="N551" s="445">
        <f>IFERROR(__xludf.DUMMYFUNCTION("IMPORTRANGE(""https://docs.google.com/spreadsheets/d/1SX6NBoVAgQJ6U1MVXOaj8PK2l7WJ3RER9xtqwdhxkhw/edit?usp=sharing"",""ชัยนาท!M446"")"),0.0)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IFERROR(__xludf.DUMMYFUNCTION("IMPORTRANGE(""https://docs.google.com/spreadsheets/d/1SX6NBoVAgQJ6U1MVXOaj8PK2l7WJ3RER9xtqwdhxkhw/edit?usp=sharing"",""ชัยนาท!L447"")"),0.0)</f>
        <v>0</v>
      </c>
      <c r="M552" s="197"/>
      <c r="N552" s="203">
        <f>IFERROR(__xludf.DUMMYFUNCTION("IMPORTRANGE(""https://docs.google.com/spreadsheets/d/1SX6NBoVAgQJ6U1MVXOaj8PK2l7WJ3RER9xtqwdhxkhw/edit?usp=sharing"",""ชัยนาท!M447"")"),0.0)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IFERROR(__xludf.DUMMYFUNCTION("IMPORTRANGE(""https://docs.google.com/spreadsheets/d/1SX6NBoVAgQJ6U1MVXOaj8PK2l7WJ3RER9xtqwdhxkhw/edit?usp=sharing"",""ชัยนาท!L448"")"),0.0)</f>
        <v>0</v>
      </c>
      <c r="M553" s="198"/>
      <c r="N553" s="203">
        <f>IFERROR(__xludf.DUMMYFUNCTION("IMPORTRANGE(""https://docs.google.com/spreadsheets/d/1SX6NBoVAgQJ6U1MVXOaj8PK2l7WJ3RER9xtqwdhxkhw/edit?usp=sharing"",""ชัยนาท!M448"")"),0.0)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IFERROR(__xludf.DUMMYFUNCTION("IMPORTRANGE(""https://docs.google.com/spreadsheets/d/1SX6NBoVAgQJ6U1MVXOaj8PK2l7WJ3RER9xtqwdhxkhw/edit?usp=sharing"",""ชัยนาท!L449"")"),0.0)</f>
        <v>0</v>
      </c>
      <c r="M554" s="203"/>
      <c r="N554" s="203">
        <f>IFERROR(__xludf.DUMMYFUNCTION("IMPORTRANGE(""https://docs.google.com/spreadsheets/d/1SX6NBoVAgQJ6U1MVXOaj8PK2l7WJ3RER9xtqwdhxkhw/edit?usp=sharing"",""ชัยนาท!M449"")"),0.0)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IFERROR(__xludf.DUMMYFUNCTION("IMPORTRANGE(""https://docs.google.com/spreadsheets/d/1SX6NBoVAgQJ6U1MVXOaj8PK2l7WJ3RER9xtqwdhxkhw/edit?usp=sharing"",""ชัยนาท!L450"")"),0.0)</f>
        <v>0</v>
      </c>
      <c r="M555" s="203"/>
      <c r="N555" s="203">
        <f>IFERROR(__xludf.DUMMYFUNCTION("IMPORTRANGE(""https://docs.google.com/spreadsheets/d/1SX6NBoVAgQJ6U1MVXOaj8PK2l7WJ3RER9xtqwdhxkhw/edit?usp=sharing"",""ชัยนาท!M450"")"),0.0)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IFERROR(__xludf.DUMMYFUNCTION("IMPORTRANGE(""https://docs.google.com/spreadsheets/d/1SX6NBoVAgQJ6U1MVXOaj8PK2l7WJ3RER9xtqwdhxkhw/edit?usp=sharing"",""ชัยนาท!M451"")"),0.0)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IFERROR(__xludf.DUMMYFUNCTION("IMPORTRANGE(""https://docs.google.com/spreadsheets/d/1SX6NBoVAgQJ6U1MVXOaj8PK2l7WJ3RER9xtqwdhxkhw/edit?usp=sharing"",""ชัยนาท!M452"")"),0.0)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IFERROR(__xludf.DUMMYFUNCTION("IMPORTRANGE(""https://docs.google.com/spreadsheets/d/1SX6NBoVAgQJ6U1MVXOaj8PK2l7WJ3RER9xtqwdhxkhw/edit?usp=sharing"",""ชัยนาท!M453"")"),0.0)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IFERROR(__xludf.DUMMYFUNCTION("IMPORTRANGE(""https://docs.google.com/spreadsheets/d/1SX6NBoVAgQJ6U1MVXOaj8PK2l7WJ3RER9xtqwdhxkhw/edit?usp=sharing"",""ชัยนาท!M454"")"),0.0)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IFERROR(__xludf.DUMMYFUNCTION("IMPORTRANGE(""https://docs.google.com/spreadsheets/d/1SX6NBoVAgQJ6U1MVXOaj8PK2l7WJ3RER9xtqwdhxkhw/edit?usp=sharing"",""ชัยนาท!I455"")"),0.0)</f>
        <v>0</v>
      </c>
      <c r="J560" s="195">
        <f>IFERROR(__xludf.DUMMYFUNCTION("IMPORTRANGE(""https://docs.google.com/spreadsheets/d/1SX6NBoVAgQJ6U1MVXOaj8PK2l7WJ3RER9xtqwdhxkhw/edit?usp=sharing"",""ชัยนาท!J455"")"),0.0)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IFERROR(__xludf.DUMMYFUNCTION("IMPORTRANGE(""https://docs.google.com/spreadsheets/d/1SX6NBoVAgQJ6U1MVXOaj8PK2l7WJ3RER9xtqwdhxkhw/edit?usp=sharing"",""ชัยนาท!I456"")"),0.0)</f>
        <v>0</v>
      </c>
      <c r="J561" s="238">
        <f>IFERROR(__xludf.DUMMYFUNCTION("IMPORTRANGE(""https://docs.google.com/spreadsheets/d/1SX6NBoVAgQJ6U1MVXOaj8PK2l7WJ3RER9xtqwdhxkhw/edit?usp=sharing"",""ชัยนาท!J456"")"),0.0)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IFERROR(__xludf.DUMMYFUNCTION("IMPORTRANGE(""https://docs.google.com/spreadsheets/d/1SX6NBoVAgQJ6U1MVXOaj8PK2l7WJ3RER9xtqwdhxkhw/edit?usp=sharing"",""ชัยนาท!I457"")"),"")</f>
        <v/>
      </c>
      <c r="J562" s="238" t="str">
        <f>IFERROR(__xludf.DUMMYFUNCTION("IMPORTRANGE(""https://docs.google.com/spreadsheets/d/1SX6NBoVAgQJ6U1MVXOaj8PK2l7WJ3RER9xtqwdhxkhw/edit?usp=sharing"",""ชัยนาท!J457"")"),"")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IFERROR(__xludf.DUMMYFUNCTION("IMPORTRANGE(""https://docs.google.com/spreadsheets/d/1SX6NBoVAgQJ6U1MVXOaj8PK2l7WJ3RER9xtqwdhxkhw/edit?usp=sharing"",""ชัยนาท!I458"")"),"")</f>
        <v/>
      </c>
      <c r="J563" s="222" t="str">
        <f>IFERROR(__xludf.DUMMYFUNCTION("IMPORTRANGE(""https://docs.google.com/spreadsheets/d/1SX6NBoVAgQJ6U1MVXOaj8PK2l7WJ3RER9xtqwdhxkhw/edit?usp=sharing"",""ชัยนาท!J458"")"),"")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IFERROR(__xludf.DUMMYFUNCTION("IMPORTRANGE(""https://docs.google.com/spreadsheets/d/1SX6NBoVAgQJ6U1MVXOaj8PK2l7WJ3RER9xtqwdhxkhw/edit?usp=sharing"",""ชัยนาท!I459"")"),200.0)</f>
        <v>200</v>
      </c>
      <c r="J564" s="404">
        <f>IFERROR(__xludf.DUMMYFUNCTION("IMPORTRANGE(""https://docs.google.com/spreadsheets/d/1SX6NBoVAgQJ6U1MVXOaj8PK2l7WJ3RER9xtqwdhxkhw/edit?usp=sharing"",""ชัยนาท!J459"")"),155.0)</f>
        <v>155</v>
      </c>
      <c r="K564" s="405">
        <f t="shared" si="122"/>
        <v>77.5</v>
      </c>
      <c r="L564" s="406">
        <f>IFERROR(__xludf.DUMMYFUNCTION("IMPORTRANGE(""https://docs.google.com/spreadsheets/d/1SX6NBoVAgQJ6U1MVXOaj8PK2l7WJ3RER9xtqwdhxkhw/edit?usp=sharing"",""ชัยนาท!L459"")"),124800.0)</f>
        <v>124800</v>
      </c>
      <c r="M564" s="406"/>
      <c r="N564" s="406">
        <f>IFERROR(__xludf.DUMMYFUNCTION("IMPORTRANGE(""https://docs.google.com/spreadsheets/d/1SX6NBoVAgQJ6U1MVXOaj8PK2l7WJ3RER9xtqwdhxkhw/edit?usp=sharing"",""ชัยนาท!M459"")"),25350.0)</f>
        <v>25350</v>
      </c>
      <c r="O564" s="406">
        <f t="shared" ref="O564:O568" si="123">+IF(L564&gt;0,N564*100/L564,0)</f>
        <v>20.3125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IFERROR(__xludf.DUMMYFUNCTION("IMPORTRANGE(""https://docs.google.com/spreadsheets/d/1SX6NBoVAgQJ6U1MVXOaj8PK2l7WJ3RER9xtqwdhxkhw/edit?usp=sharing"",""ชัยนาท!L460"")"),0.0)</f>
        <v>0</v>
      </c>
      <c r="M565" s="197"/>
      <c r="N565" s="203">
        <f>IFERROR(__xludf.DUMMYFUNCTION("IMPORTRANGE(""https://docs.google.com/spreadsheets/d/1SX6NBoVAgQJ6U1MVXOaj8PK2l7WJ3RER9xtqwdhxkhw/edit?usp=sharing"",""ชัยนาท!M460"")"),0.0)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IFERROR(__xludf.DUMMYFUNCTION("IMPORTRANGE(""https://docs.google.com/spreadsheets/d/1SX6NBoVAgQJ6U1MVXOaj8PK2l7WJ3RER9xtqwdhxkhw/edit?usp=sharing"",""ชัยนาท!L461"")"),124800.0)</f>
        <v>124800</v>
      </c>
      <c r="M566" s="198"/>
      <c r="N566" s="203">
        <f>IFERROR(__xludf.DUMMYFUNCTION("IMPORTRANGE(""https://docs.google.com/spreadsheets/d/1SX6NBoVAgQJ6U1MVXOaj8PK2l7WJ3RER9xtqwdhxkhw/edit?usp=sharing"",""ชัยนาท!M461"")"),25350.0)</f>
        <v>25350</v>
      </c>
      <c r="O566" s="203">
        <f t="shared" si="123"/>
        <v>20.3125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IFERROR(__xludf.DUMMYFUNCTION("IMPORTRANGE(""https://docs.google.com/spreadsheets/d/1SX6NBoVAgQJ6U1MVXOaj8PK2l7WJ3RER9xtqwdhxkhw/edit?usp=sharing"",""ชัยนาท!L462"")"),0.0)</f>
        <v>0</v>
      </c>
      <c r="M567" s="203"/>
      <c r="N567" s="203">
        <f>IFERROR(__xludf.DUMMYFUNCTION("IMPORTRANGE(""https://docs.google.com/spreadsheets/d/1SX6NBoVAgQJ6U1MVXOaj8PK2l7WJ3RER9xtqwdhxkhw/edit?usp=sharing"",""ชัยนาท!M462"")"),0.0)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IFERROR(__xludf.DUMMYFUNCTION("IMPORTRANGE(""https://docs.google.com/spreadsheets/d/1SX6NBoVAgQJ6U1MVXOaj8PK2l7WJ3RER9xtqwdhxkhw/edit?usp=sharing"",""ชัยนาท!L463"")"),124800.0)</f>
        <v>124800</v>
      </c>
      <c r="M568" s="203"/>
      <c r="N568" s="203">
        <f>IFERROR(__xludf.DUMMYFUNCTION("IMPORTRANGE(""https://docs.google.com/spreadsheets/d/1SX6NBoVAgQJ6U1MVXOaj8PK2l7WJ3RER9xtqwdhxkhw/edit?usp=sharing"",""ชัยนาท!M463"")"),25350.0)</f>
        <v>25350</v>
      </c>
      <c r="O568" s="203">
        <f t="shared" si="123"/>
        <v>20.3125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IFERROR(__xludf.DUMMYFUNCTION("IMPORTRANGE(""https://docs.google.com/spreadsheets/d/1SX6NBoVAgQJ6U1MVXOaj8PK2l7WJ3RER9xtqwdhxkhw/edit?usp=sharing"",""ชัยนาท!M464"")"),0.0)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IFERROR(__xludf.DUMMYFUNCTION("IMPORTRANGE(""https://docs.google.com/spreadsheets/d/1SX6NBoVAgQJ6U1MVXOaj8PK2l7WJ3RER9xtqwdhxkhw/edit?usp=sharing"",""ชัยนาท!M465"")"),0.0)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IFERROR(__xludf.DUMMYFUNCTION("IMPORTRANGE(""https://docs.google.com/spreadsheets/d/1SX6NBoVAgQJ6U1MVXOaj8PK2l7WJ3RER9xtqwdhxkhw/edit?usp=sharing"",""ชัยนาท!M466"")"),22000.0)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IFERROR(__xludf.DUMMYFUNCTION("IMPORTRANGE(""https://docs.google.com/spreadsheets/d/1SX6NBoVAgQJ6U1MVXOaj8PK2l7WJ3RER9xtqwdhxkhw/edit?usp=sharing"",""ชัยนาท!M467"")"),3350.0)</f>
        <v>3350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IFERROR(__xludf.DUMMYFUNCTION("IMPORTRANGE(""https://docs.google.com/spreadsheets/d/1SX6NBoVAgQJ6U1MVXOaj8PK2l7WJ3RER9xtqwdhxkhw/edit?usp=sharing"",""ชัยนาท!I468"")"),200.0)</f>
        <v>200</v>
      </c>
      <c r="J573" s="453">
        <f>IFERROR(__xludf.DUMMYFUNCTION("IMPORTRANGE(""https://docs.google.com/spreadsheets/d/1SX6NBoVAgQJ6U1MVXOaj8PK2l7WJ3RER9xtqwdhxkhw/edit?usp=sharing"",""ชัยนาท!J468"")"),155.0)</f>
        <v>155</v>
      </c>
      <c r="K573" s="236">
        <f>IF(I573&gt;0,J573*100/I573,0)</f>
        <v>77.5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IFERROR(__xludf.DUMMYFUNCTION("IMPORTRANGE(""https://docs.google.com/spreadsheets/d/1SX6NBoVAgQJ6U1MVXOaj8PK2l7WJ3RER9xtqwdhxkhw/edit?usp=sharing"",""ชัยนาท!I470"")"),0.0)</f>
        <v>0</v>
      </c>
      <c r="J575" s="232">
        <f>IFERROR(__xludf.DUMMYFUNCTION("IMPORTRANGE(""https://docs.google.com/spreadsheets/d/1SX6NBoVAgQJ6U1MVXOaj8PK2l7WJ3RER9xtqwdhxkhw/edit?usp=sharing"",""ชัยนาท!J470"")"),0.0)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IFERROR(__xludf.DUMMYFUNCTION("IMPORTRANGE(""https://docs.google.com/spreadsheets/d/1SX6NBoVAgQJ6U1MVXOaj8PK2l7WJ3RER9xtqwdhxkhw/edit?usp=sharing"",""ชัยนาท!I471"")"),0.0)</f>
        <v>0</v>
      </c>
      <c r="J576" s="232">
        <f>IFERROR(__xludf.DUMMYFUNCTION("IMPORTRANGE(""https://docs.google.com/spreadsheets/d/1SX6NBoVAgQJ6U1MVXOaj8PK2l7WJ3RER9xtqwdhxkhw/edit?usp=sharing"",""ชัยนาท!J471"")"),0.0)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IFERROR(__xludf.DUMMYFUNCTION("IMPORTRANGE(""https://docs.google.com/spreadsheets/d/1SX6NBoVAgQJ6U1MVXOaj8PK2l7WJ3RER9xtqwdhxkhw/edit?usp=sharing"",""ชัยนาท!I472"")"),0.0)</f>
        <v>0</v>
      </c>
      <c r="J577" s="223">
        <f>IFERROR(__xludf.DUMMYFUNCTION("IMPORTRANGE(""https://docs.google.com/spreadsheets/d/1SX6NBoVAgQJ6U1MVXOaj8PK2l7WJ3RER9xtqwdhxkhw/edit?usp=sharing"",""ชัยนาท!J472"")"),155.0)</f>
        <v>155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IFERROR(__xludf.DUMMYFUNCTION("IMPORTRANGE(""https://docs.google.com/spreadsheets/d/1SX6NBoVAgQJ6U1MVXOaj8PK2l7WJ3RER9xtqwdhxkhw/edit?usp=sharing"",""ชัยนาท!I473"")"),0.0)</f>
        <v>0</v>
      </c>
      <c r="J578" s="232">
        <f>IFERROR(__xludf.DUMMYFUNCTION("IMPORTRANGE(""https://docs.google.com/spreadsheets/d/1SX6NBoVAgQJ6U1MVXOaj8PK2l7WJ3RER9xtqwdhxkhw/edit?usp=sharing"",""ชัยนาท!J473"")"),0.0)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IFERROR(__xludf.DUMMYFUNCTION("IMPORTRANGE(""https://docs.google.com/spreadsheets/d/1SX6NBoVAgQJ6U1MVXOaj8PK2l7WJ3RER9xtqwdhxkhw/edit?usp=sharing"",""ชัยนาท!I474"")"),0.0)</f>
        <v>0</v>
      </c>
      <c r="J579" s="232">
        <f>IFERROR(__xludf.DUMMYFUNCTION("IMPORTRANGE(""https://docs.google.com/spreadsheets/d/1SX6NBoVAgQJ6U1MVXOaj8PK2l7WJ3RER9xtqwdhxkhw/edit?usp=sharing"",""ชัยนาท!J474"")"),0.0)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IFERROR(__xludf.DUMMYFUNCTION("IMPORTRANGE(""https://docs.google.com/spreadsheets/d/1SX6NBoVAgQJ6U1MVXOaj8PK2l7WJ3RER9xtqwdhxkhw/edit?usp=sharing"",""ชัยนาท!I475"")"),0.0)</f>
        <v>0</v>
      </c>
      <c r="J580" s="404">
        <f>IFERROR(__xludf.DUMMYFUNCTION("IMPORTRANGE(""https://docs.google.com/spreadsheets/d/1SX6NBoVAgQJ6U1MVXOaj8PK2l7WJ3RER9xtqwdhxkhw/edit?usp=sharing"",""ชัยนาท!J475"")"),0.0)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IFERROR(__xludf.DUMMYFUNCTION("IMPORTRANGE(""https://docs.google.com/spreadsheets/d/1SX6NBoVAgQJ6U1MVXOaj8PK2l7WJ3RER9xtqwdhxkhw/edit?usp=sharing"",""ชัยนาท!L475"")"),0.0)</f>
        <v>0</v>
      </c>
      <c r="M580" s="406"/>
      <c r="N580" s="406">
        <f>IFERROR(__xludf.DUMMYFUNCTION("IMPORTRANGE(""https://docs.google.com/spreadsheets/d/1SX6NBoVAgQJ6U1MVXOaj8PK2l7WJ3RER9xtqwdhxkhw/edit?usp=sharing"",""ชัยนาท!M475"")"),0.0)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IFERROR(__xludf.DUMMYFUNCTION("IMPORTRANGE(""https://docs.google.com/spreadsheets/d/1SX6NBoVAgQJ6U1MVXOaj8PK2l7WJ3RER9xtqwdhxkhw/edit?usp=sharing"",""ชัยนาท!L476"")"),0.0)</f>
        <v>0</v>
      </c>
      <c r="M581" s="197"/>
      <c r="N581" s="203">
        <f>IFERROR(__xludf.DUMMYFUNCTION("IMPORTRANGE(""https://docs.google.com/spreadsheets/d/1SX6NBoVAgQJ6U1MVXOaj8PK2l7WJ3RER9xtqwdhxkhw/edit?usp=sharing"",""ชัยนาท!M476"")"),0.0)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IFERROR(__xludf.DUMMYFUNCTION("IMPORTRANGE(""https://docs.google.com/spreadsheets/d/1SX6NBoVAgQJ6U1MVXOaj8PK2l7WJ3RER9xtqwdhxkhw/edit?usp=sharing"",""ชัยนาท!L477"")"),0.0)</f>
        <v>0</v>
      </c>
      <c r="M582" s="198"/>
      <c r="N582" s="203">
        <f>IFERROR(__xludf.DUMMYFUNCTION("IMPORTRANGE(""https://docs.google.com/spreadsheets/d/1SX6NBoVAgQJ6U1MVXOaj8PK2l7WJ3RER9xtqwdhxkhw/edit?usp=sharing"",""ชัยนาท!M477"")"),0.0)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IFERROR(__xludf.DUMMYFUNCTION("IMPORTRANGE(""https://docs.google.com/spreadsheets/d/1SX6NBoVAgQJ6U1MVXOaj8PK2l7WJ3RER9xtqwdhxkhw/edit?usp=sharing"",""ชัยนาท!L478"")"),0.0)</f>
        <v>0</v>
      </c>
      <c r="M583" s="203"/>
      <c r="N583" s="203">
        <f>IFERROR(__xludf.DUMMYFUNCTION("IMPORTRANGE(""https://docs.google.com/spreadsheets/d/1SX6NBoVAgQJ6U1MVXOaj8PK2l7WJ3RER9xtqwdhxkhw/edit?usp=sharing"",""ชัยนาท!M478"")"),0.0)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IFERROR(__xludf.DUMMYFUNCTION("IMPORTRANGE(""https://docs.google.com/spreadsheets/d/1SX6NBoVAgQJ6U1MVXOaj8PK2l7WJ3RER9xtqwdhxkhw/edit?usp=sharing"",""ชัยนาท!L479"")"),0.0)</f>
        <v>0</v>
      </c>
      <c r="M584" s="203"/>
      <c r="N584" s="203">
        <f>IFERROR(__xludf.DUMMYFUNCTION("IMPORTRANGE(""https://docs.google.com/spreadsheets/d/1SX6NBoVAgQJ6U1MVXOaj8PK2l7WJ3RER9xtqwdhxkhw/edit?usp=sharing"",""ชัยนาท!M479"")"),0.0)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IFERROR(__xludf.DUMMYFUNCTION("IMPORTRANGE(""https://docs.google.com/spreadsheets/d/1SX6NBoVAgQJ6U1MVXOaj8PK2l7WJ3RER9xtqwdhxkhw/edit?usp=sharing"",""ชัยนาท!M480"")"),0.0)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IFERROR(__xludf.DUMMYFUNCTION("IMPORTRANGE(""https://docs.google.com/spreadsheets/d/1SX6NBoVAgQJ6U1MVXOaj8PK2l7WJ3RER9xtqwdhxkhw/edit?usp=sharing"",""ชัยนาท!M481"")"),0.0)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IFERROR(__xludf.DUMMYFUNCTION("IMPORTRANGE(""https://docs.google.com/spreadsheets/d/1SX6NBoVAgQJ6U1MVXOaj8PK2l7WJ3RER9xtqwdhxkhw/edit?usp=sharing"",""ชัยนาท!M482"")"),0.0)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IFERROR(__xludf.DUMMYFUNCTION("IMPORTRANGE(""https://docs.google.com/spreadsheets/d/1SX6NBoVAgQJ6U1MVXOaj8PK2l7WJ3RER9xtqwdhxkhw/edit?usp=sharing"",""ชัยนาท!M483"")"),0.0)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IFERROR(__xludf.DUMMYFUNCTION("IMPORTRANGE(""https://docs.google.com/spreadsheets/d/1SX6NBoVAgQJ6U1MVXOaj8PK2l7WJ3RER9xtqwdhxkhw/edit?usp=sharing"",""ชัยนาท!I484"")"),0.0)</f>
        <v>0</v>
      </c>
      <c r="J589" s="222">
        <f>IFERROR(__xludf.DUMMYFUNCTION("IMPORTRANGE(""https://docs.google.com/spreadsheets/d/1SX6NBoVAgQJ6U1MVXOaj8PK2l7WJ3RER9xtqwdhxkhw/edit?usp=sharing"",""ชัยนาท!J484"")"),0.0)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IFERROR(__xludf.DUMMYFUNCTION("IMPORTRANGE(""https://docs.google.com/spreadsheets/d/1SX6NBoVAgQJ6U1MVXOaj8PK2l7WJ3RER9xtqwdhxkhw/edit?usp=sharing"",""ชัยนาท!I485"")"),0.0)</f>
        <v>0</v>
      </c>
      <c r="J590" s="222">
        <f>IFERROR(__xludf.DUMMYFUNCTION("IMPORTRANGE(""https://docs.google.com/spreadsheets/d/1SX6NBoVAgQJ6U1MVXOaj8PK2l7WJ3RER9xtqwdhxkhw/edit?usp=sharing"",""ชัยนาท!J485"")"),0.0)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IFERROR(__xludf.DUMMYFUNCTION("IMPORTRANGE(""https://docs.google.com/spreadsheets/d/1SX6NBoVAgQJ6U1MVXOaj8PK2l7WJ3RER9xtqwdhxkhw/edit?usp=sharing"",""ชัยนาท!I486"")"),0.0)</f>
        <v>0</v>
      </c>
      <c r="J591" s="222">
        <f>IFERROR(__xludf.DUMMYFUNCTION("IMPORTRANGE(""https://docs.google.com/spreadsheets/d/1SX6NBoVAgQJ6U1MVXOaj8PK2l7WJ3RER9xtqwdhxkhw/edit?usp=sharing"",""ชัยนาท!J486"")"),0.0)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IFERROR(__xludf.DUMMYFUNCTION("IMPORTRANGE(""https://docs.google.com/spreadsheets/d/1SX6NBoVAgQJ6U1MVXOaj8PK2l7WJ3RER9xtqwdhxkhw/edit?usp=sharing"",""ชัยนาท!I487"")"),0.0)</f>
        <v>0</v>
      </c>
      <c r="J592" s="222">
        <f>IFERROR(__xludf.DUMMYFUNCTION("IMPORTRANGE(""https://docs.google.com/spreadsheets/d/1SX6NBoVAgQJ6U1MVXOaj8PK2l7WJ3RER9xtqwdhxkhw/edit?usp=sharing"",""ชัยนาท!J487"")"),0.0)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IFERROR(__xludf.DUMMYFUNCTION("IMPORTRANGE(""https://docs.google.com/spreadsheets/d/1SX6NBoVAgQJ6U1MVXOaj8PK2l7WJ3RER9xtqwdhxkhw/edit?usp=sharing"",""ชัยนาท!I488"")"),0.0)</f>
        <v>0</v>
      </c>
      <c r="J593" s="222">
        <f>IFERROR(__xludf.DUMMYFUNCTION("IMPORTRANGE(""https://docs.google.com/spreadsheets/d/1SX6NBoVAgQJ6U1MVXOaj8PK2l7WJ3RER9xtqwdhxkhw/edit?usp=sharing"",""ชัยนาท!J488"")"),0.0)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IFERROR(__xludf.DUMMYFUNCTION("IMPORTRANGE(""https://docs.google.com/spreadsheets/d/1SX6NBoVAgQJ6U1MVXOaj8PK2l7WJ3RER9xtqwdhxkhw/edit?usp=sharing"",""ชัยนาท!I489"")"),0.0)</f>
        <v>0</v>
      </c>
      <c r="J594" s="222">
        <f>IFERROR(__xludf.DUMMYFUNCTION("IMPORTRANGE(""https://docs.google.com/spreadsheets/d/1SX6NBoVAgQJ6U1MVXOaj8PK2l7WJ3RER9xtqwdhxkhw/edit?usp=sharing"",""ชัยนาท!J489"")"),0.0)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IFERROR(__xludf.DUMMYFUNCTION("IMPORTRANGE(""https://docs.google.com/spreadsheets/d/1SX6NBoVAgQJ6U1MVXOaj8PK2l7WJ3RER9xtqwdhxkhw/edit?usp=sharing"",""ชัยนาท!I490"")"),0.0)</f>
        <v>0</v>
      </c>
      <c r="J595" s="222">
        <f>IFERROR(__xludf.DUMMYFUNCTION("IMPORTRANGE(""https://docs.google.com/spreadsheets/d/1SX6NBoVAgQJ6U1MVXOaj8PK2l7WJ3RER9xtqwdhxkhw/edit?usp=sharing"",""ชัยนาท!J490"")"),0.0)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IFERROR(__xludf.DUMMYFUNCTION("IMPORTRANGE(""https://docs.google.com/spreadsheets/d/1SX6NBoVAgQJ6U1MVXOaj8PK2l7WJ3RER9xtqwdhxkhw/edit?usp=sharing"",""ชัยนาท!I491"")"),0.0)</f>
        <v>0</v>
      </c>
      <c r="J596" s="275">
        <f>IFERROR(__xludf.DUMMYFUNCTION("IMPORTRANGE(""https://docs.google.com/spreadsheets/d/1SX6NBoVAgQJ6U1MVXOaj8PK2l7WJ3RER9xtqwdhxkhw/edit?usp=sharing"",""ชัยนาท!J491"")"),0.0)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IFERROR(__xludf.DUMMYFUNCTION("IMPORTRANGE(""https://docs.google.com/spreadsheets/d/1SX6NBoVAgQJ6U1MVXOaj8PK2l7WJ3RER9xtqwdhxkhw/edit?usp=sharing"",""ชัยนาท!I492"")"),50.0)</f>
        <v>50</v>
      </c>
      <c r="J597" s="520">
        <f>IFERROR(__xludf.DUMMYFUNCTION("IMPORTRANGE(""https://docs.google.com/spreadsheets/d/1SX6NBoVAgQJ6U1MVXOaj8PK2l7WJ3RER9xtqwdhxkhw/edit?usp=sharing"",""ชัยนาท!J492"")"),0.0)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IFERROR(__xludf.DUMMYFUNCTION("IMPORTRANGE(""https://docs.google.com/spreadsheets/d/1SX6NBoVAgQJ6U1MVXOaj8PK2l7WJ3RER9xtqwdhxkhw/edit?usp=sharing"",""ชัยนาท!L492"")"),4550.0)</f>
        <v>4550</v>
      </c>
      <c r="M597" s="445"/>
      <c r="N597" s="445">
        <f>IFERROR(__xludf.DUMMYFUNCTION("IMPORTRANGE(""https://docs.google.com/spreadsheets/d/1SX6NBoVAgQJ6U1MVXOaj8PK2l7WJ3RER9xtqwdhxkhw/edit?usp=sharing"",""ชัยนาท!M492"")"),1740.0)</f>
        <v>1740</v>
      </c>
      <c r="O597" s="445">
        <f t="shared" ref="O597:O601" si="127">+IF(L597&gt;0,N597*100/L597,0)</f>
        <v>38.24175824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IFERROR(__xludf.DUMMYFUNCTION("IMPORTRANGE(""https://docs.google.com/spreadsheets/d/1SX6NBoVAgQJ6U1MVXOaj8PK2l7WJ3RER9xtqwdhxkhw/edit?usp=sharing"",""ชัยนาท!L493"")"),0.0)</f>
        <v>0</v>
      </c>
      <c r="M598" s="197"/>
      <c r="N598" s="203">
        <f>IFERROR(__xludf.DUMMYFUNCTION("IMPORTRANGE(""https://docs.google.com/spreadsheets/d/1SX6NBoVAgQJ6U1MVXOaj8PK2l7WJ3RER9xtqwdhxkhw/edit?usp=sharing"",""ชัยนาท!M493"")"),0.0)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IFERROR(__xludf.DUMMYFUNCTION("IMPORTRANGE(""https://docs.google.com/spreadsheets/d/1SX6NBoVAgQJ6U1MVXOaj8PK2l7WJ3RER9xtqwdhxkhw/edit?usp=sharing"",""ชัยนาท!L494"")"),4550.0)</f>
        <v>4550</v>
      </c>
      <c r="M599" s="198"/>
      <c r="N599" s="203">
        <f>IFERROR(__xludf.DUMMYFUNCTION("IMPORTRANGE(""https://docs.google.com/spreadsheets/d/1SX6NBoVAgQJ6U1MVXOaj8PK2l7WJ3RER9xtqwdhxkhw/edit?usp=sharing"",""ชัยนาท!M494"")"),1740.0)</f>
        <v>1740</v>
      </c>
      <c r="O599" s="203">
        <f t="shared" si="127"/>
        <v>38.24175824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IFERROR(__xludf.DUMMYFUNCTION("IMPORTRANGE(""https://docs.google.com/spreadsheets/d/1SX6NBoVAgQJ6U1MVXOaj8PK2l7WJ3RER9xtqwdhxkhw/edit?usp=sharing"",""ชัยนาท!L495"")"),0.0)</f>
        <v>0</v>
      </c>
      <c r="M600" s="203"/>
      <c r="N600" s="203">
        <f>IFERROR(__xludf.DUMMYFUNCTION("IMPORTRANGE(""https://docs.google.com/spreadsheets/d/1SX6NBoVAgQJ6U1MVXOaj8PK2l7WJ3RER9xtqwdhxkhw/edit?usp=sharing"",""ชัยนาท!M495"")"),0.0)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IFERROR(__xludf.DUMMYFUNCTION("IMPORTRANGE(""https://docs.google.com/spreadsheets/d/1SX6NBoVAgQJ6U1MVXOaj8PK2l7WJ3RER9xtqwdhxkhw/edit?usp=sharing"",""ชัยนาท!L496"")"),4550.0)</f>
        <v>4550</v>
      </c>
      <c r="M601" s="203"/>
      <c r="N601" s="203">
        <f>IFERROR(__xludf.DUMMYFUNCTION("IMPORTRANGE(""https://docs.google.com/spreadsheets/d/1SX6NBoVAgQJ6U1MVXOaj8PK2l7WJ3RER9xtqwdhxkhw/edit?usp=sharing"",""ชัยนาท!M496"")"),1740.0)</f>
        <v>1740</v>
      </c>
      <c r="O601" s="203">
        <f t="shared" si="127"/>
        <v>38.24175824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IFERROR(__xludf.DUMMYFUNCTION("IMPORTRANGE(""https://docs.google.com/spreadsheets/d/1SX6NBoVAgQJ6U1MVXOaj8PK2l7WJ3RER9xtqwdhxkhw/edit?usp=sharing"",""ชัยนาท!M497"")"),0.0)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IFERROR(__xludf.DUMMYFUNCTION("IMPORTRANGE(""https://docs.google.com/spreadsheets/d/1SX6NBoVAgQJ6U1MVXOaj8PK2l7WJ3RER9xtqwdhxkhw/edit?usp=sharing"",""ชัยนาท!M498"")"),0.0)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IFERROR(__xludf.DUMMYFUNCTION("IMPORTRANGE(""https://docs.google.com/spreadsheets/d/1SX6NBoVAgQJ6U1MVXOaj8PK2l7WJ3RER9xtqwdhxkhw/edit?usp=sharing"",""ชัยนาท!M499"")"),0.0)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IFERROR(__xludf.DUMMYFUNCTION("IMPORTRANGE(""https://docs.google.com/spreadsheets/d/1SX6NBoVAgQJ6U1MVXOaj8PK2l7WJ3RER9xtqwdhxkhw/edit?usp=sharing"",""ชัยนาท!M500"")"),1740.0)</f>
        <v>1740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IFERROR(__xludf.DUMMYFUNCTION("IMPORTRANGE(""https://docs.google.com/spreadsheets/d/1SX6NBoVAgQJ6U1MVXOaj8PK2l7WJ3RER9xtqwdhxkhw/edit?usp=sharing"",""ชัยนาท!J502"")"),0.0)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IFERROR(__xludf.DUMMYFUNCTION("IMPORTRANGE(""https://docs.google.com/spreadsheets/d/1SX6NBoVAgQJ6U1MVXOaj8PK2l7WJ3RER9xtqwdhxkhw/edit?usp=sharing"",""ชัยนาท!J503"")"),0.0)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IFERROR(__xludf.DUMMYFUNCTION("IMPORTRANGE(""https://docs.google.com/spreadsheets/d/1SX6NBoVAgQJ6U1MVXOaj8PK2l7WJ3RER9xtqwdhxkhw/edit?usp=sharing"",""ชัยนาท!J166"")"),0.0)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IFERROR(__xludf.DUMMYFUNCTION("IMPORTRANGE(""https://docs.google.com/spreadsheets/d/1SX6NBoVAgQJ6U1MVXOaj8PK2l7WJ3RER9xtqwdhxkhw/edit?usp=sharing"",""ชัยนาท!J166"")"),0.0)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IFERROR(__xludf.DUMMYFUNCTION("IMPORTRANGE(""https://docs.google.com/spreadsheets/d/1SX6NBoVAgQJ6U1MVXOaj8PK2l7WJ3RER9xtqwdhxkhw/edit?usp=sharing"",""ชัยนาท!I506"")"),50.0)</f>
        <v>50</v>
      </c>
      <c r="J611" s="195">
        <f>IFERROR(__xludf.DUMMYFUNCTION("IMPORTRANGE(""https://docs.google.com/spreadsheets/d/1SX6NBoVAgQJ6U1MVXOaj8PK2l7WJ3RER9xtqwdhxkhw/edit?usp=sharing"",""ชัยนาท!J506"")"),0.0)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IFERROR(__xludf.DUMMYFUNCTION("IMPORTRANGE(""https://docs.google.com/spreadsheets/d/1SX6NBoVAgQJ6U1MVXOaj8PK2l7WJ3RER9xtqwdhxkhw/edit?usp=sharing"",""ชัยนาท!I507"")"),0.0)</f>
        <v>0</v>
      </c>
      <c r="J612" s="232">
        <f>IFERROR(__xludf.DUMMYFUNCTION("IMPORTRANGE(""https://docs.google.com/spreadsheets/d/1SX6NBoVAgQJ6U1MVXOaj8PK2l7WJ3RER9xtqwdhxkhw/edit?usp=sharing"",""ชัยนาท!J507"")"),0.0)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IFERROR(__xludf.DUMMYFUNCTION("IMPORTRANGE(""https://docs.google.com/spreadsheets/d/1SX6NBoVAgQJ6U1MVXOaj8PK2l7WJ3RER9xtqwdhxkhw/edit?usp=sharing"",""ชัยนาท!I508"")"),0.0)</f>
        <v>0</v>
      </c>
      <c r="J613" s="232">
        <f>IFERROR(__xludf.DUMMYFUNCTION("IMPORTRANGE(""https://docs.google.com/spreadsheets/d/1SX6NBoVAgQJ6U1MVXOaj8PK2l7WJ3RER9xtqwdhxkhw/edit?usp=sharing"",""ชัยนาท!J508"")"),0.0)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IFERROR(__xludf.DUMMYFUNCTION("IMPORTRANGE(""https://docs.google.com/spreadsheets/d/1SX6NBoVAgQJ6U1MVXOaj8PK2l7WJ3RER9xtqwdhxkhw/edit?usp=sharing"",""ชัยนาท!I509"")"),0.0)</f>
        <v>0</v>
      </c>
      <c r="J614" s="232">
        <f>IFERROR(__xludf.DUMMYFUNCTION("IMPORTRANGE(""https://docs.google.com/spreadsheets/d/1SX6NBoVAgQJ6U1MVXOaj8PK2l7WJ3RER9xtqwdhxkhw/edit?usp=sharing"",""ชัยนาท!J509"")"),0.0)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IFERROR(__xludf.DUMMYFUNCTION("IMPORTRANGE(""https://docs.google.com/spreadsheets/d/1SX6NBoVAgQJ6U1MVXOaj8PK2l7WJ3RER9xtqwdhxkhw/edit?usp=sharing"",""ชัยนาท!I510"")"),0.0)</f>
        <v>0</v>
      </c>
      <c r="J615" s="232">
        <f>IFERROR(__xludf.DUMMYFUNCTION("IMPORTRANGE(""https://docs.google.com/spreadsheets/d/1SX6NBoVAgQJ6U1MVXOaj8PK2l7WJ3RER9xtqwdhxkhw/edit?usp=sharing"",""ชัยนาท!J510"")"),0.0)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IFERROR(__xludf.DUMMYFUNCTION("IMPORTRANGE(""https://docs.google.com/spreadsheets/d/1SX6NBoVAgQJ6U1MVXOaj8PK2l7WJ3RER9xtqwdhxkhw/edit?usp=sharing"",""ชัยนาท!I511"")"),0.0)</f>
        <v>0</v>
      </c>
      <c r="J616" s="232">
        <f>IFERROR(__xludf.DUMMYFUNCTION("IMPORTRANGE(""https://docs.google.com/spreadsheets/d/1SX6NBoVAgQJ6U1MVXOaj8PK2l7WJ3RER9xtqwdhxkhw/edit?usp=sharing"",""ชัยนาท!J511"")"),0.0)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IFERROR(__xludf.DUMMYFUNCTION("IMPORTRANGE(""https://docs.google.com/spreadsheets/d/1SX6NBoVAgQJ6U1MVXOaj8PK2l7WJ3RER9xtqwdhxkhw/edit?usp=sharing"",""ชัยนาท!I512"")"),0.0)</f>
        <v>0</v>
      </c>
      <c r="J617" s="222">
        <f>IFERROR(__xludf.DUMMYFUNCTION("IMPORTRANGE(""https://docs.google.com/spreadsheets/d/1SX6NBoVAgQJ6U1MVXOaj8PK2l7WJ3RER9xtqwdhxkhw/edit?usp=sharing"",""ชัยนาท!J512"")"),0.0)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IFERROR(__xludf.DUMMYFUNCTION("IMPORTRANGE(""https://docs.google.com/spreadsheets/d/1SX6NBoVAgQJ6U1MVXOaj8PK2l7WJ3RER9xtqwdhxkhw/edit?usp=sharing"",""ชัยนาท!I513"")"),0.0)</f>
        <v>0</v>
      </c>
      <c r="J618" s="223">
        <f>IFERROR(__xludf.DUMMYFUNCTION("IMPORTRANGE(""https://docs.google.com/spreadsheets/d/1SX6NBoVAgQJ6U1MVXOaj8PK2l7WJ3RER9xtqwdhxkhw/edit?usp=sharing"",""ชัยนาท!J513"")"),0.0)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IFERROR(__xludf.DUMMYFUNCTION("IMPORTRANGE(""https://docs.google.com/spreadsheets/d/1SX6NBoVAgQJ6U1MVXOaj8PK2l7WJ3RER9xtqwdhxkhw/edit?usp=sharing"",""ชัยนาท!I514"")"),0.0)</f>
        <v>0</v>
      </c>
      <c r="J619" s="223">
        <f>IFERROR(__xludf.DUMMYFUNCTION("IMPORTRANGE(""https://docs.google.com/spreadsheets/d/1SX6NBoVAgQJ6U1MVXOaj8PK2l7WJ3RER9xtqwdhxkhw/edit?usp=sharing"",""ชัยนาท!J514"")"),0.0)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IFERROR(__xludf.DUMMYFUNCTION("IMPORTRANGE(""https://docs.google.com/spreadsheets/d/1SX6NBoVAgQJ6U1MVXOaj8PK2l7WJ3RER9xtqwdhxkhw/edit?usp=sharing"",""ชัยนาท!I515"")"),0.0)</f>
        <v>0</v>
      </c>
      <c r="J620" s="237">
        <f>IFERROR(__xludf.DUMMYFUNCTION("IMPORTRANGE(""https://docs.google.com/spreadsheets/d/1SX6NBoVAgQJ6U1MVXOaj8PK2l7WJ3RER9xtqwdhxkhw/edit?usp=sharing"",""ชัยนาท!J515"")"),0.0)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IFERROR(__xludf.DUMMYFUNCTION("IMPORTRANGE(""https://docs.google.com/spreadsheets/d/1SX6NBoVAgQJ6U1MVXOaj8PK2l7WJ3RER9xtqwdhxkhw/edit?usp=sharing"",""ชัยนาท!I516"")"),0.0)</f>
        <v>0</v>
      </c>
      <c r="J621" s="237">
        <f>IFERROR(__xludf.DUMMYFUNCTION("IMPORTRANGE(""https://docs.google.com/spreadsheets/d/1SX6NBoVAgQJ6U1MVXOaj8PK2l7WJ3RER9xtqwdhxkhw/edit?usp=sharing"",""ชัยนาท!J516"")"),0.0)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IFERROR(__xludf.DUMMYFUNCTION("IMPORTRANGE(""https://docs.google.com/spreadsheets/d/1SX6NBoVAgQJ6U1MVXOaj8PK2l7WJ3RER9xtqwdhxkhw/edit?usp=sharing"",""ชัยนาท!I517"")"),0.0)</f>
        <v>0</v>
      </c>
      <c r="J622" s="223">
        <f>IFERROR(__xludf.DUMMYFUNCTION("IMPORTRANGE(""https://docs.google.com/spreadsheets/d/1SX6NBoVAgQJ6U1MVXOaj8PK2l7WJ3RER9xtqwdhxkhw/edit?usp=sharing"",""ชัยนาท!J517"")"),0.0)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IFERROR(__xludf.DUMMYFUNCTION("IMPORTRANGE(""https://docs.google.com/spreadsheets/d/1SX6NBoVAgQJ6U1MVXOaj8PK2l7WJ3RER9xtqwdhxkhw/edit?usp=sharing"",""ชัยนาท!I518"")"),0.0)</f>
        <v>0</v>
      </c>
      <c r="J623" s="223">
        <f>IFERROR(__xludf.DUMMYFUNCTION("IMPORTRANGE(""https://docs.google.com/spreadsheets/d/1SX6NBoVAgQJ6U1MVXOaj8PK2l7WJ3RER9xtqwdhxkhw/edit?usp=sharing"",""ชัยนาท!J518"")"),0.0)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IFERROR(__xludf.DUMMYFUNCTION("IMPORTRANGE(""https://docs.google.com/spreadsheets/d/1SX6NBoVAgQJ6U1MVXOaj8PK2l7WJ3RER9xtqwdhxkhw/edit?usp=sharing"",""ชัยนาท!I519"")"),0.0)</f>
        <v>0</v>
      </c>
      <c r="J624" s="222">
        <f>IFERROR(__xludf.DUMMYFUNCTION("IMPORTRANGE(""https://docs.google.com/spreadsheets/d/1SX6NBoVAgQJ6U1MVXOaj8PK2l7WJ3RER9xtqwdhxkhw/edit?usp=sharing"",""ชัยนาท!J519"")"),0.0)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IFERROR(__xludf.DUMMYFUNCTION("IMPORTRANGE(""https://docs.google.com/spreadsheets/d/1SX6NBoVAgQJ6U1MVXOaj8PK2l7WJ3RER9xtqwdhxkhw/edit?usp=sharing"",""ชัยนาท!I520"")"),0.0)</f>
        <v>0</v>
      </c>
      <c r="J625" s="223">
        <f>IFERROR(__xludf.DUMMYFUNCTION("IMPORTRANGE(""https://docs.google.com/spreadsheets/d/1SX6NBoVAgQJ6U1MVXOaj8PK2l7WJ3RER9xtqwdhxkhw/edit?usp=sharing"",""ชัยนาท!J520"")"),0.0)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IFERROR(__xludf.DUMMYFUNCTION("IMPORTRANGE(""https://docs.google.com/spreadsheets/d/1SX6NBoVAgQJ6U1MVXOaj8PK2l7WJ3RER9xtqwdhxkhw/edit?usp=sharing"",""ชัยนาท!I521"")"),0.0)</f>
        <v>0</v>
      </c>
      <c r="J626" s="223">
        <f>IFERROR(__xludf.DUMMYFUNCTION("IMPORTRANGE(""https://docs.google.com/spreadsheets/d/1SX6NBoVAgQJ6U1MVXOaj8PK2l7WJ3RER9xtqwdhxkhw/edit?usp=sharing"",""ชัยนาท!J521"")"),0.0)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IFERROR(__xludf.DUMMYFUNCTION("IMPORTRANGE(""https://docs.google.com/spreadsheets/d/1SX6NBoVAgQJ6U1MVXOaj8PK2l7WJ3RER9xtqwdhxkhw/edit?usp=sharing"",""ชัยนาท!I523"")"),2596068.99)</f>
        <v>2596068.99</v>
      </c>
      <c r="J628" s="374">
        <f>IFERROR(__xludf.DUMMYFUNCTION("IMPORTRANGE(""https://docs.google.com/spreadsheets/d/1SX6NBoVAgQJ6U1MVXOaj8PK2l7WJ3RER9xtqwdhxkhw/edit?usp=sharing"",""ชัยนาท!J523"")"),78041.21)</f>
        <v>78041.21</v>
      </c>
      <c r="K628" s="375">
        <f t="shared" ref="K628:K635" si="130">IF(I628&gt;0,J628*100/I628,0)</f>
        <v>3.006130049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IFERROR(__xludf.DUMMYFUNCTION("IMPORTRANGE(""https://docs.google.com/spreadsheets/d/1SX6NBoVAgQJ6U1MVXOaj8PK2l7WJ3RER9xtqwdhxkhw/edit?usp=sharing"",""ชัยนาท!I524"")"),200.0)</f>
        <v>200</v>
      </c>
      <c r="J629" s="374">
        <f>IFERROR(__xludf.DUMMYFUNCTION("IMPORTRANGE(""https://docs.google.com/spreadsheets/d/1SX6NBoVAgQJ6U1MVXOaj8PK2l7WJ3RER9xtqwdhxkhw/edit?usp=sharing"",""ชัยนาท!J524"")"),35.0)</f>
        <v>35</v>
      </c>
      <c r="K629" s="375">
        <f t="shared" si="130"/>
        <v>17.5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IFERROR(__xludf.DUMMYFUNCTION("IMPORTRANGE(""https://docs.google.com/spreadsheets/d/1SX6NBoVAgQJ6U1MVXOaj8PK2l7WJ3RER9xtqwdhxkhw/edit?usp=sharing"",""ชัยนาท!I525"")"),6474868.13)</f>
        <v>6474868.13</v>
      </c>
      <c r="J630" s="374">
        <f>IFERROR(__xludf.DUMMYFUNCTION("IMPORTRANGE(""https://docs.google.com/spreadsheets/d/1SX6NBoVAgQJ6U1MVXOaj8PK2l7WJ3RER9xtqwdhxkhw/edit?usp=sharing"",""ชัยนาท!J525"")"),250333.53)</f>
        <v>250333.53</v>
      </c>
      <c r="K630" s="375">
        <f t="shared" si="130"/>
        <v>3.866233643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IFERROR(__xludf.DUMMYFUNCTION("IMPORTRANGE(""https://docs.google.com/spreadsheets/d/1SX6NBoVAgQJ6U1MVXOaj8PK2l7WJ3RER9xtqwdhxkhw/edit?usp=sharing"",""ชัยนาท!I526"")"),297.0)</f>
        <v>297</v>
      </c>
      <c r="J631" s="374">
        <f>IFERROR(__xludf.DUMMYFUNCTION("IMPORTRANGE(""https://docs.google.com/spreadsheets/d/1SX6NBoVAgQJ6U1MVXOaj8PK2l7WJ3RER9xtqwdhxkhw/edit?usp=sharing"",""ชัยนาท!J526"")"),84.0)</f>
        <v>84</v>
      </c>
      <c r="K631" s="375">
        <f t="shared" si="130"/>
        <v>28.28282828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IFERROR(__xludf.DUMMYFUNCTION("IMPORTRANGE(""https://docs.google.com/spreadsheets/d/1SX6NBoVAgQJ6U1MVXOaj8PK2l7WJ3RER9xtqwdhxkhw/edit?usp=sharing"",""ชัยนาท!I527"")"),1.247760839E7)</f>
        <v>12477608.39</v>
      </c>
      <c r="J632" s="374">
        <f>IFERROR(__xludf.DUMMYFUNCTION("IMPORTRANGE(""https://docs.google.com/spreadsheets/d/1SX6NBoVAgQJ6U1MVXOaj8PK2l7WJ3RER9xtqwdhxkhw/edit?usp=sharing"",""ชัยนาท!J527"")"),537619.53)</f>
        <v>537619.53</v>
      </c>
      <c r="K632" s="375">
        <f t="shared" si="130"/>
        <v>4.308674493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IFERROR(__xludf.DUMMYFUNCTION("IMPORTRANGE(""https://docs.google.com/spreadsheets/d/1SX6NBoVAgQJ6U1MVXOaj8PK2l7WJ3RER9xtqwdhxkhw/edit?usp=sharing"",""ชัยนาท!I528"")"),351.0)</f>
        <v>351</v>
      </c>
      <c r="J633" s="374">
        <f>IFERROR(__xludf.DUMMYFUNCTION("IMPORTRANGE(""https://docs.google.com/spreadsheets/d/1SX6NBoVAgQJ6U1MVXOaj8PK2l7WJ3RER9xtqwdhxkhw/edit?usp=sharing"",""ชัยนาท!J528"")"),54.0)</f>
        <v>54</v>
      </c>
      <c r="K633" s="375">
        <f t="shared" si="130"/>
        <v>15.38461538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IFERROR(__xludf.DUMMYFUNCTION("IMPORTRANGE(""https://docs.google.com/spreadsheets/d/1SX6NBoVAgQJ6U1MVXOaj8PK2l7WJ3RER9xtqwdhxkhw/edit?usp=sharing"",""ชัยนาท!I529"")"),4700000.0)</f>
        <v>4700000</v>
      </c>
      <c r="J634" s="374">
        <f>IFERROR(__xludf.DUMMYFUNCTION("IMPORTRANGE(""https://docs.google.com/spreadsheets/d/1SX6NBoVAgQJ6U1MVXOaj8PK2l7WJ3RER9xtqwdhxkhw/edit?usp=sharing"",""ชัยนาท!J529"")"),0.0)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IFERROR(__xludf.DUMMYFUNCTION("IMPORTRANGE(""https://docs.google.com/spreadsheets/d/1SX6NBoVAgQJ6U1MVXOaj8PK2l7WJ3RER9xtqwdhxkhw/edit?usp=sharing"",""ชัยนาท!I530"")"),200.0)</f>
        <v>200</v>
      </c>
      <c r="J635" s="544">
        <f>IFERROR(__xludf.DUMMYFUNCTION("IMPORTRANGE(""https://docs.google.com/spreadsheets/d/1SX6NBoVAgQJ6U1MVXOaj8PK2l7WJ3RER9xtqwdhxkhw/edit?usp=sharing"",""ชัยนาท!J530"")"),0.0)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249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2774582</v>
      </c>
      <c r="M8" s="41">
        <f t="shared" si="1"/>
        <v>982780</v>
      </c>
      <c r="N8" s="41">
        <f t="shared" si="1"/>
        <v>1070754</v>
      </c>
      <c r="O8" s="40">
        <f t="shared" ref="O8:O16" si="3">IF(L8&gt;0,N8*100/L8,0)</f>
        <v>38.5915428</v>
      </c>
      <c r="P8" s="40">
        <f t="shared" ref="P8:P16" si="4">IF(M8&gt;0,N8*100/M8,0)</f>
        <v>108.9515456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2774582</v>
      </c>
      <c r="M10" s="48">
        <f t="shared" si="5"/>
        <v>982780</v>
      </c>
      <c r="N10" s="48">
        <f t="shared" si="5"/>
        <v>1070754</v>
      </c>
      <c r="O10" s="47">
        <f t="shared" si="3"/>
        <v>38.5915428</v>
      </c>
      <c r="P10" s="47">
        <f t="shared" si="4"/>
        <v>108.9515456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2486582</v>
      </c>
      <c r="M12" s="58">
        <f t="shared" si="7"/>
        <v>982780</v>
      </c>
      <c r="N12" s="58">
        <f t="shared" si="7"/>
        <v>782754</v>
      </c>
      <c r="O12" s="58">
        <f t="shared" si="3"/>
        <v>31.4791147</v>
      </c>
      <c r="P12" s="58">
        <f t="shared" si="4"/>
        <v>79.64691996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1477700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1008882</v>
      </c>
      <c r="M14" s="58">
        <f t="shared" si="9"/>
        <v>0</v>
      </c>
      <c r="N14" s="58">
        <f t="shared" si="9"/>
        <v>181003</v>
      </c>
      <c r="O14" s="61">
        <f t="shared" si="3"/>
        <v>17.9409485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288000</v>
      </c>
      <c r="M16" s="58">
        <f t="shared" si="11"/>
        <v>0</v>
      </c>
      <c r="N16" s="58">
        <f t="shared" si="11"/>
        <v>288000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2151240</v>
      </c>
      <c r="M18" s="41">
        <f t="shared" si="12"/>
        <v>982780</v>
      </c>
      <c r="N18" s="41">
        <f t="shared" si="12"/>
        <v>889751</v>
      </c>
      <c r="O18" s="40">
        <f t="shared" ref="O18:O20" si="14">IF(L18&gt;0,N18*100/L18,0)</f>
        <v>41.35991335</v>
      </c>
      <c r="P18" s="40">
        <f t="shared" ref="P18:P26" si="15">IF(M18&gt;0,N18*100/M18,0)</f>
        <v>90.53409715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2151240</v>
      </c>
      <c r="M20" s="48">
        <f t="shared" si="16"/>
        <v>982780</v>
      </c>
      <c r="N20" s="48">
        <f t="shared" si="16"/>
        <v>889751</v>
      </c>
      <c r="O20" s="47">
        <f t="shared" si="14"/>
        <v>41.35991335</v>
      </c>
      <c r="P20" s="47">
        <f t="shared" si="15"/>
        <v>90.53409715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1863240</v>
      </c>
      <c r="M22" s="62">
        <f t="shared" si="18"/>
        <v>982780</v>
      </c>
      <c r="N22" s="61">
        <f t="shared" si="18"/>
        <v>601751</v>
      </c>
      <c r="O22" s="61">
        <f t="shared" si="19"/>
        <v>32.29594685</v>
      </c>
      <c r="P22" s="61">
        <f t="shared" si="15"/>
        <v>61.2294715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1477700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385540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288000</v>
      </c>
      <c r="M26" s="70">
        <f t="shared" si="23"/>
        <v>0</v>
      </c>
      <c r="N26" s="70">
        <f t="shared" si="23"/>
        <v>288000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623342</v>
      </c>
      <c r="M28" s="41">
        <f t="shared" si="24"/>
        <v>0</v>
      </c>
      <c r="N28" s="41">
        <f t="shared" si="24"/>
        <v>181003</v>
      </c>
      <c r="O28" s="40">
        <f t="shared" ref="O28:O30" si="26">IF(L28&gt;0,N28*100/L28,0)</f>
        <v>29.03751071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623342</v>
      </c>
      <c r="M30" s="48">
        <f t="shared" si="28"/>
        <v>0</v>
      </c>
      <c r="N30" s="48">
        <f t="shared" si="28"/>
        <v>181003</v>
      </c>
      <c r="O30" s="47">
        <f t="shared" si="26"/>
        <v>29.03751071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623342</v>
      </c>
      <c r="M32" s="61">
        <f t="shared" si="30"/>
        <v>0</v>
      </c>
      <c r="N32" s="61">
        <f t="shared" si="30"/>
        <v>181003</v>
      </c>
      <c r="O32" s="61">
        <f t="shared" si="31"/>
        <v>29.03751071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623342</v>
      </c>
      <c r="M34" s="61">
        <f t="shared" si="33"/>
        <v>0</v>
      </c>
      <c r="N34" s="61">
        <f t="shared" si="33"/>
        <v>181003</v>
      </c>
      <c r="O34" s="61">
        <f t="shared" si="31"/>
        <v>29.03751071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2151240</v>
      </c>
      <c r="M37" s="75">
        <f t="shared" si="34"/>
        <v>982780</v>
      </c>
      <c r="N37" s="75">
        <f t="shared" si="34"/>
        <v>889751</v>
      </c>
      <c r="O37" s="76">
        <f t="shared" si="31"/>
        <v>41.35991335</v>
      </c>
      <c r="P37" s="76">
        <f t="shared" si="27"/>
        <v>90.53409715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917900</v>
      </c>
      <c r="M41" s="102">
        <f t="shared" si="35"/>
        <v>315000</v>
      </c>
      <c r="N41" s="102">
        <f t="shared" si="35"/>
        <v>524618</v>
      </c>
      <c r="O41" s="101">
        <f t="shared" ref="O41:O43" si="37">IF(L41&gt;0,N41*100/L41,0)</f>
        <v>57.15415623</v>
      </c>
      <c r="P41" s="101">
        <f t="shared" ref="P41:P43" si="38">IF(M41&gt;0,N41*100/M41,0)</f>
        <v>166.5453968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917900</v>
      </c>
      <c r="M43" s="102">
        <f t="shared" si="39"/>
        <v>315000</v>
      </c>
      <c r="N43" s="102">
        <f t="shared" si="39"/>
        <v>524618</v>
      </c>
      <c r="O43" s="101">
        <f t="shared" si="37"/>
        <v>57.15415623</v>
      </c>
      <c r="P43" s="101">
        <f t="shared" si="38"/>
        <v>166.5453968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629900</v>
      </c>
      <c r="M45" s="70">
        <f>IFERROR(__xludf.DUMMYFUNCTION("IMPORTRANGE(""https://docs.google.com/spreadsheets/d/1Yj_ptqi66GCucihVvJfMjLAmec39IyEx_6qawtMGysU/edit?usp=sharing"",""สบก!Q64"")"),315000.0)</f>
        <v>315000</v>
      </c>
      <c r="N45" s="70">
        <f>IFERROR(__xludf.DUMMYFUNCTION("IMPORTRANGE(""https://docs.google.com/spreadsheets/d/1Yj_ptqi66GCucihVvJfMjLAmec39IyEx_6qawtMGysU/edit?usp=sharing"",""สบก!R64"")"),236618.0)</f>
        <v>236618</v>
      </c>
      <c r="O45" s="61">
        <f>IF(L45&gt;0,N45*100/L45,0)</f>
        <v>37.5643753</v>
      </c>
      <c r="P45" s="61">
        <f>IF(M45&gt;0,N45*100/M45,0)</f>
        <v>75.1168254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IFERROR(__xludf.DUMMYFUNCTION("IMPORTRANGE(""https://docs.google.com/spreadsheets/d/1Yj_ptqi66GCucihVvJfMjLAmec39IyEx_6qawtMGysU/edit?usp=sharing"",""สบก!M64"")"),629900.0)</f>
        <v>629900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IFERROR(__xludf.DUMMYFUNCTION("IMPORTRANGE(""https://docs.google.com/spreadsheets/d/1Yj_ptqi66GCucihVvJfMjLAmec39IyEx_6qawtMGysU/edit?usp=sharing"",""สบก!N64"")"),0.0)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IFERROR(__xludf.DUMMYFUNCTION("IMPORTRANGE(""https://docs.google.com/spreadsheets/d/1Yj_ptqi66GCucihVvJfMjLAmec39IyEx_6qawtMGysU/edit?usp=sharing"",""สบก!O64"")"),288000.0)</f>
        <v>288000</v>
      </c>
      <c r="M49" s="70"/>
      <c r="N49" s="70">
        <f>IFERROR(__xludf.DUMMYFUNCTION("IMPORTRANGE(""https://docs.google.com/spreadsheets/d/1Yj_ptqi66GCucihVvJfMjLAmec39IyEx_6qawtMGysU/edit?usp=sharing"",""สบก!S64"")"),288000.0)</f>
        <v>288000</v>
      </c>
      <c r="O49" s="70">
        <f>IF(L49&gt;0,N49*100/L49,0)</f>
        <v>100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354000</v>
      </c>
      <c r="M53" s="151">
        <f t="shared" si="40"/>
        <v>186000</v>
      </c>
      <c r="N53" s="151">
        <f t="shared" si="40"/>
        <v>99220</v>
      </c>
      <c r="O53" s="150">
        <f t="shared" ref="O53:O55" si="42">IF(L53&gt;0,N53*100/L53,0)</f>
        <v>28.02824859</v>
      </c>
      <c r="P53" s="150">
        <f t="shared" ref="P53:P55" si="43">IF(M53&gt;0,N53*100/M53,0)</f>
        <v>53.34408602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354000</v>
      </c>
      <c r="M55" s="151">
        <f t="shared" si="44"/>
        <v>186000</v>
      </c>
      <c r="N55" s="151">
        <f t="shared" si="44"/>
        <v>99220</v>
      </c>
      <c r="O55" s="150">
        <f t="shared" si="42"/>
        <v>28.02824859</v>
      </c>
      <c r="P55" s="150">
        <f t="shared" si="43"/>
        <v>53.34408602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354000</v>
      </c>
      <c r="M57" s="70">
        <f>IFERROR(__xludf.DUMMYFUNCTION("IMPORTRANGE(""https://docs.google.com/spreadsheets/d/1Yj_ptqi66GCucihVvJfMjLAmec39IyEx_6qawtMGysU/edit?usp=sharing"",""สบก!Z64"")"),186000.0)</f>
        <v>186000</v>
      </c>
      <c r="N57" s="70">
        <f>IFERROR(__xludf.DUMMYFUNCTION("IMPORTRANGE(""https://docs.google.com/spreadsheets/d/1Yj_ptqi66GCucihVvJfMjLAmec39IyEx_6qawtMGysU/edit?usp=sharing"",""สบก!AA64"")"),99220.0)</f>
        <v>99220</v>
      </c>
      <c r="O57" s="61">
        <f>IF(L57&gt;0,N57*100/L57,0)</f>
        <v>28.02824859</v>
      </c>
      <c r="P57" s="61">
        <f>IF(M57&gt;0,N57*100/M57,0)</f>
        <v>53.34408602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IFERROR(__xludf.DUMMYFUNCTION("IMPORTRANGE(""https://docs.google.com/spreadsheets/d/1Yj_ptqi66GCucihVvJfMjLAmec39IyEx_6qawtMGysU/edit?usp=sharing"",""สบก!V64"")"),354000.0)</f>
        <v>354000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IFERROR(__xludf.DUMMYFUNCTION("IMPORTRANGE(""https://docs.google.com/spreadsheets/d/1Yj_ptqi66GCucihVvJfMjLAmec39IyEx_6qawtMGysU/edit?usp=sharing"",""สบก!W64"")"),0.0)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IFERROR(__xludf.DUMMYFUNCTION("IMPORTRANGE(""https://docs.google.com/spreadsheets/d/1Yj_ptqi66GCucihVvJfMjLAmec39IyEx_6qawtMGysU/edit?usp=sharing"",""สบก!X64"")"),0.0)</f>
        <v>0</v>
      </c>
      <c r="M61" s="70"/>
      <c r="N61" s="70">
        <f>IFERROR(__xludf.DUMMYFUNCTION("IMPORTRANGE(""https://docs.google.com/spreadsheets/d/1Yj_ptqi66GCucihVvJfMjLAmec39IyEx_6qawtMGysU/edit?usp=sharing"",""สบก!AB64"")"),0.0)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IFERROR(__xludf.DUMMYFUNCTION("IMPORTRANGE(""https://docs.google.com/spreadsheets/d/1SX6NBoVAgQJ6U1MVXOaj8PK2l7WJ3RER9xtqwdhxkhw/edit?usp=sharing"",""ตราด!I9"")"),0.0)</f>
        <v>0</v>
      </c>
      <c r="J64" s="172">
        <f>IFERROR(__xludf.DUMMYFUNCTION("IMPORTRANGE(""https://docs.google.com/spreadsheets/d/1SX6NBoVAgQJ6U1MVXOaj8PK2l7WJ3RER9xtqwdhxkhw/edit?usp=sharing"",""ตราด!J9"")"),0.0)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IFERROR(__xludf.DUMMYFUNCTION("IMPORTRANGE(""https://docs.google.com/spreadsheets/d/1SX6NBoVAgQJ6U1MVXOaj8PK2l7WJ3RER9xtqwdhxkhw/edit?usp=sharing"",""ตราด!I10"")"),0.0)</f>
        <v>0</v>
      </c>
      <c r="J65" s="172">
        <f>IFERROR(__xludf.DUMMYFUNCTION("IMPORTRANGE(""https://docs.google.com/spreadsheets/d/1SX6NBoVAgQJ6U1MVXOaj8PK2l7WJ3RER9xtqwdhxkhw/edit?usp=sharing"",""ตราด!J10"")"),0.0)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IFERROR(__xludf.DUMMYFUNCTION("IMPORTRANGE(""https://docs.google.com/spreadsheets/d/1Yj_ptqi66GCucihVvJfMjLAmec39IyEx_6qawtMGysU/edit?usp=sharing"",""สบก!AI64"")"),0.0)</f>
        <v>0</v>
      </c>
      <c r="N70" s="203">
        <f>IFERROR(__xludf.DUMMYFUNCTION("IMPORTRANGE(""https://docs.google.com/spreadsheets/d/1Yj_ptqi66GCucihVvJfMjLAmec39IyEx_6qawtMGysU/edit?usp=sharing"",""สบก!AJ64"")"),0.0)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IFERROR(__xludf.DUMMYFUNCTION("IMPORTRANGE(""https://docs.google.com/spreadsheets/d/1Yj_ptqi66GCucihVvJfMjLAmec39IyEx_6qawtMGysU/edit?usp=sharing"",""สบก!AE64"")"),0.0)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IFERROR(__xludf.DUMMYFUNCTION("IMPORTRANGE(""https://docs.google.com/spreadsheets/d/1Yj_ptqi66GCucihVvJfMjLAmec39IyEx_6qawtMGysU/edit?usp=sharing"",""สบก!AF64"")"),0.0)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IFERROR(__xludf.DUMMYFUNCTION("IMPORTRANGE(""https://docs.google.com/spreadsheets/d/1Yj_ptqi66GCucihVvJfMjLAmec39IyEx_6qawtMGysU/edit?usp=sharing"",""สบก!AG64"")"),0.0)</f>
        <v>0</v>
      </c>
      <c r="M74" s="70"/>
      <c r="N74" s="70">
        <f>IFERROR(__xludf.DUMMYFUNCTION("IMPORTRANGE(""https://docs.google.com/spreadsheets/d/1Yj_ptqi66GCucihVvJfMjLAmec39IyEx_6qawtMGysU/edit?usp=sharing"",""สบก!AK64"")"),0.0)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IFERROR(__xludf.DUMMYFUNCTION("IMPORTRANGE(""https://docs.google.com/spreadsheets/d/1SX6NBoVAgQJ6U1MVXOaj8PK2l7WJ3RER9xtqwdhxkhw/edit?usp=sharing"",""ตราด!J16"")"),0.0)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IFERROR(__xludf.DUMMYFUNCTION("IMPORTRANGE(""https://docs.google.com/spreadsheets/d/1SX6NBoVAgQJ6U1MVXOaj8PK2l7WJ3RER9xtqwdhxkhw/edit?usp=sharing"",""ตราด!J17"")"),0.0)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IFERROR(__xludf.DUMMYFUNCTION("IMPORTRANGE(""https://docs.google.com/spreadsheets/d/1SX6NBoVAgQJ6U1MVXOaj8PK2l7WJ3RER9xtqwdhxkhw/edit?usp=sharing"",""ตราด!J18"")"),0.0)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IFERROR(__xludf.DUMMYFUNCTION("IMPORTRANGE(""https://docs.google.com/spreadsheets/d/1SX6NBoVAgQJ6U1MVXOaj8PK2l7WJ3RER9xtqwdhxkhw/edit?usp=sharing"",""ตราด!J19"")"),0.0)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IFERROR(__xludf.DUMMYFUNCTION("IMPORTRANGE(""https://docs.google.com/spreadsheets/d/1SX6NBoVAgQJ6U1MVXOaj8PK2l7WJ3RER9xtqwdhxkhw/edit?usp=sharing"",""ตราด!I20"")"),0.0)</f>
        <v>0</v>
      </c>
      <c r="J80" s="235">
        <f>IFERROR(__xludf.DUMMYFUNCTION("IMPORTRANGE(""https://docs.google.com/spreadsheets/d/1SX6NBoVAgQJ6U1MVXOaj8PK2l7WJ3RER9xtqwdhxkhw/edit?usp=sharing"",""ตราด!J20"")"),0.0)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IFERROR(__xludf.DUMMYFUNCTION("IMPORTRANGE(""https://docs.google.com/spreadsheets/d/1SX6NBoVAgQJ6U1MVXOaj8PK2l7WJ3RER9xtqwdhxkhw/edit?usp=sharing"",""ตราด!I21"")"),0.0)</f>
        <v>0</v>
      </c>
      <c r="J81" s="235">
        <f>IFERROR(__xludf.DUMMYFUNCTION("IMPORTRANGE(""https://docs.google.com/spreadsheets/d/1SX6NBoVAgQJ6U1MVXOaj8PK2l7WJ3RER9xtqwdhxkhw/edit?usp=sharing"",""ตราด!J21"")"),0.0)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IFERROR(__xludf.DUMMYFUNCTION("IMPORTRANGE(""https://docs.google.com/spreadsheets/d/1SX6NBoVAgQJ6U1MVXOaj8PK2l7WJ3RER9xtqwdhxkhw/edit?usp=sharing"",""ตราด!I22"")"),0.0)</f>
        <v>0</v>
      </c>
      <c r="J82" s="238">
        <f>IFERROR(__xludf.DUMMYFUNCTION("IMPORTRANGE(""https://docs.google.com/spreadsheets/d/1SX6NBoVAgQJ6U1MVXOaj8PK2l7WJ3RER9xtqwdhxkhw/edit?usp=sharing"",""ตราด!J22"")"),0.0)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IFERROR(__xludf.DUMMYFUNCTION("IMPORTRANGE(""https://docs.google.com/spreadsheets/d/1SX6NBoVAgQJ6U1MVXOaj8PK2l7WJ3RER9xtqwdhxkhw/edit?usp=sharing"",""ตราด!I23"")"),0.0)</f>
        <v>0</v>
      </c>
      <c r="J83" s="238">
        <f>IFERROR(__xludf.DUMMYFUNCTION("IMPORTRANGE(""https://docs.google.com/spreadsheets/d/1SX6NBoVAgQJ6U1MVXOaj8PK2l7WJ3RER9xtqwdhxkhw/edit?usp=sharing"",""ตราด!J23"")"),0.0)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IFERROR(__xludf.DUMMYFUNCTION("IMPORTRANGE(""https://docs.google.com/spreadsheets/d/1SX6NBoVAgQJ6U1MVXOaj8PK2l7WJ3RER9xtqwdhxkhw/edit?usp=sharing"",""ตราด!I24"")"),0.0)</f>
        <v>0</v>
      </c>
      <c r="J84" s="223">
        <f>IFERROR(__xludf.DUMMYFUNCTION("IMPORTRANGE(""https://docs.google.com/spreadsheets/d/1SX6NBoVAgQJ6U1MVXOaj8PK2l7WJ3RER9xtqwdhxkhw/edit?usp=sharing"",""ตราด!J24"")"),0.0)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IFERROR(__xludf.DUMMYFUNCTION("IMPORTRANGE(""https://docs.google.com/spreadsheets/d/1SX6NBoVAgQJ6U1MVXOaj8PK2l7WJ3RER9xtqwdhxkhw/edit?usp=sharing"",""ตราด!I25"")"),0.0)</f>
        <v>0</v>
      </c>
      <c r="J85" s="223">
        <f>IFERROR(__xludf.DUMMYFUNCTION("IMPORTRANGE(""https://docs.google.com/spreadsheets/d/1SX6NBoVAgQJ6U1MVXOaj8PK2l7WJ3RER9xtqwdhxkhw/edit?usp=sharing"",""ตราด!J25"")"),0.0)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IFERROR(__xludf.DUMMYFUNCTION("IMPORTRANGE(""https://docs.google.com/spreadsheets/d/1SX6NBoVAgQJ6U1MVXOaj8PK2l7WJ3RER9xtqwdhxkhw/edit?usp=sharing"",""ตราด!I26"")"),0.0)</f>
        <v>0</v>
      </c>
      <c r="J86" s="238">
        <f>IFERROR(__xludf.DUMMYFUNCTION("IMPORTRANGE(""https://docs.google.com/spreadsheets/d/1SX6NBoVAgQJ6U1MVXOaj8PK2l7WJ3RER9xtqwdhxkhw/edit?usp=sharing"",""ตราด!J26"")"),0.0)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IFERROR(__xludf.DUMMYFUNCTION("IMPORTRANGE(""https://docs.google.com/spreadsheets/d/1SX6NBoVAgQJ6U1MVXOaj8PK2l7WJ3RER9xtqwdhxkhw/edit?usp=sharing"",""ตราด!I27"")"),0.0)</f>
        <v>0</v>
      </c>
      <c r="J87" s="238">
        <f>IFERROR(__xludf.DUMMYFUNCTION("IMPORTRANGE(""https://docs.google.com/spreadsheets/d/1SX6NBoVAgQJ6U1MVXOaj8PK2l7WJ3RER9xtqwdhxkhw/edit?usp=sharing"",""ตราด!J27"")"),0.0)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IFERROR(__xludf.DUMMYFUNCTION("IMPORTRANGE(""https://docs.google.com/spreadsheets/d/1SX6NBoVAgQJ6U1MVXOaj8PK2l7WJ3RER9xtqwdhxkhw/edit?usp=sharing"",""ตราด!I28"")"),0.0)</f>
        <v>0</v>
      </c>
      <c r="J88" s="238">
        <f>IFERROR(__xludf.DUMMYFUNCTION("IMPORTRANGE(""https://docs.google.com/spreadsheets/d/1SX6NBoVAgQJ6U1MVXOaj8PK2l7WJ3RER9xtqwdhxkhw/edit?usp=sharing"",""ตราด!J28"")"),0.0)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IFERROR(__xludf.DUMMYFUNCTION("IMPORTRANGE(""https://docs.google.com/spreadsheets/d/1SX6NBoVAgQJ6U1MVXOaj8PK2l7WJ3RER9xtqwdhxkhw/edit?usp=sharing"",""ตราด!J29"")"),0.0)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IFERROR(__xludf.DUMMYFUNCTION("IMPORTRANGE(""https://docs.google.com/spreadsheets/d/1SX6NBoVAgQJ6U1MVXOaj8PK2l7WJ3RER9xtqwdhxkhw/edit?usp=sharing"",""ตราด!J30"")"),0.0)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IFERROR(__xludf.DUMMYFUNCTION("IMPORTRANGE(""https://docs.google.com/spreadsheets/d/1SX6NBoVAgQJ6U1MVXOaj8PK2l7WJ3RER9xtqwdhxkhw/edit?usp=sharing"",""ตราด!I32"")"),0.0)</f>
        <v>0</v>
      </c>
      <c r="J92" s="172">
        <f>IFERROR(__xludf.DUMMYFUNCTION("IMPORTRANGE(""https://docs.google.com/spreadsheets/d/1SX6NBoVAgQJ6U1MVXOaj8PK2l7WJ3RER9xtqwdhxkhw/edit?usp=sharing"",""ตราด!J32"")"),0.0)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IFERROR(__xludf.DUMMYFUNCTION("IMPORTRANGE(""https://docs.google.com/spreadsheets/d/1SX6NBoVAgQJ6U1MVXOaj8PK2l7WJ3RER9xtqwdhxkhw/edit?usp=sharing"",""ตราด!I33"")"),0.0)</f>
        <v>0</v>
      </c>
      <c r="J93" s="172">
        <f>IFERROR(__xludf.DUMMYFUNCTION("IMPORTRANGE(""https://docs.google.com/spreadsheets/d/1SX6NBoVAgQJ6U1MVXOaj8PK2l7WJ3RER9xtqwdhxkhw/edit?usp=sharing"",""ตราด!J33"")"),0.0)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IFERROR(__xludf.DUMMYFUNCTION("IMPORTRANGE(""https://docs.google.com/spreadsheets/d/1Yj_ptqi66GCucihVvJfMjLAmec39IyEx_6qawtMGysU/edit?usp=sharing"",""สบก!AR64"")"),0.0)</f>
        <v>0</v>
      </c>
      <c r="N98" s="203">
        <f>IFERROR(__xludf.DUMMYFUNCTION("IMPORTRANGE(""https://docs.google.com/spreadsheets/d/1Yj_ptqi66GCucihVvJfMjLAmec39IyEx_6qawtMGysU/edit?usp=sharing"",""สบก!AS64"")"),0.0)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IFERROR(__xludf.DUMMYFUNCTION("IMPORTRANGE(""https://docs.google.com/spreadsheets/d/1Yj_ptqi66GCucihVvJfMjLAmec39IyEx_6qawtMGysU/edit?usp=sharing"",""สบก!AN64"")"),0.0)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IFERROR(__xludf.DUMMYFUNCTION("IMPORTRANGE(""https://docs.google.com/spreadsheets/d/1Yj_ptqi66GCucihVvJfMjLAmec39IyEx_6qawtMGysU/edit?usp=sharing"",""สบก!AO64"")"),0.0)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IFERROR(__xludf.DUMMYFUNCTION("IMPORTRANGE(""https://docs.google.com/spreadsheets/d/1Yj_ptqi66GCucihVvJfMjLAmec39IyEx_6qawtMGysU/edit?usp=sharing"",""สบก!AP64"")"),0.0)</f>
        <v>0</v>
      </c>
      <c r="M102" s="70"/>
      <c r="N102" s="70">
        <f>IFERROR(__xludf.DUMMYFUNCTION("IMPORTRANGE(""https://docs.google.com/spreadsheets/d/1Yj_ptqi66GCucihVvJfMjLAmec39IyEx_6qawtMGysU/edit?usp=sharing"",""สบก!AT64"")"),0.0)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IFERROR(__xludf.DUMMYFUNCTION("IMPORTRANGE(""https://docs.google.com/spreadsheets/d/1SX6NBoVAgQJ6U1MVXOaj8PK2l7WJ3RER9xtqwdhxkhw/edit?usp=sharing"",""ตราด!J39"")"),0.0)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IFERROR(__xludf.DUMMYFUNCTION("IMPORTRANGE(""https://docs.google.com/spreadsheets/d/1SX6NBoVAgQJ6U1MVXOaj8PK2l7WJ3RER9xtqwdhxkhw/edit?usp=sharing"",""ตราด!J40"")"),0.0)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IFERROR(__xludf.DUMMYFUNCTION("IMPORTRANGE(""https://docs.google.com/spreadsheets/d/1SX6NBoVAgQJ6U1MVXOaj8PK2l7WJ3RER9xtqwdhxkhw/edit?usp=sharing"",""ตราด!J41"")"),0.0)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IFERROR(__xludf.DUMMYFUNCTION("IMPORTRANGE(""https://docs.google.com/spreadsheets/d/1SX6NBoVAgQJ6U1MVXOaj8PK2l7WJ3RER9xtqwdhxkhw/edit?usp=sharing"",""ตราด!J42"")"),0.0)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IFERROR(__xludf.DUMMYFUNCTION("IMPORTRANGE(""https://docs.google.com/spreadsheets/d/1SX6NBoVAgQJ6U1MVXOaj8PK2l7WJ3RER9xtqwdhxkhw/edit?usp=sharing"",""ตราด!I43"")"),0.0)</f>
        <v>0</v>
      </c>
      <c r="J108" s="238">
        <f>IFERROR(__xludf.DUMMYFUNCTION("IMPORTRANGE(""https://docs.google.com/spreadsheets/d/1SX6NBoVAgQJ6U1MVXOaj8PK2l7WJ3RER9xtqwdhxkhw/edit?usp=sharing"",""ตราด!J43"")"),0.0)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IFERROR(__xludf.DUMMYFUNCTION("IMPORTRANGE(""https://docs.google.com/spreadsheets/d/1SX6NBoVAgQJ6U1MVXOaj8PK2l7WJ3RER9xtqwdhxkhw/edit?usp=sharing"",""ตราด!I44"")"),0.0)</f>
        <v>0</v>
      </c>
      <c r="J109" s="238">
        <f>IFERROR(__xludf.DUMMYFUNCTION("IMPORTRANGE(""https://docs.google.com/spreadsheets/d/1SX6NBoVAgQJ6U1MVXOaj8PK2l7WJ3RER9xtqwdhxkhw/edit?usp=sharing"",""ตราด!J44"")"),0.0)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IFERROR(__xludf.DUMMYFUNCTION("IMPORTRANGE(""https://docs.google.com/spreadsheets/d/1SX6NBoVAgQJ6U1MVXOaj8PK2l7WJ3RER9xtqwdhxkhw/edit?usp=sharing"",""ตราด!I45"")"),0.0)</f>
        <v>0</v>
      </c>
      <c r="J110" s="238">
        <f>IFERROR(__xludf.DUMMYFUNCTION("IMPORTRANGE(""https://docs.google.com/spreadsheets/d/1SX6NBoVAgQJ6U1MVXOaj8PK2l7WJ3RER9xtqwdhxkhw/edit?usp=sharing"",""ตราด!J45"")"),0.0)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IFERROR(__xludf.DUMMYFUNCTION("IMPORTRANGE(""https://docs.google.com/spreadsheets/d/1SX6NBoVAgQJ6U1MVXOaj8PK2l7WJ3RER9xtqwdhxkhw/edit?usp=sharing"",""ตราด!I46"")"),0.0)</f>
        <v>0</v>
      </c>
      <c r="J111" s="238">
        <f>IFERROR(__xludf.DUMMYFUNCTION("IMPORTRANGE(""https://docs.google.com/spreadsheets/d/1SX6NBoVAgQJ6U1MVXOaj8PK2l7WJ3RER9xtqwdhxkhw/edit?usp=sharing"",""ตราด!J46"")"),0.0)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IFERROR(__xludf.DUMMYFUNCTION("IMPORTRANGE(""https://docs.google.com/spreadsheets/d/1SX6NBoVAgQJ6U1MVXOaj8PK2l7WJ3RER9xtqwdhxkhw/edit?usp=sharing"",""ตราด!I47"")"),0.0)</f>
        <v>0</v>
      </c>
      <c r="J112" s="238">
        <f>IFERROR(__xludf.DUMMYFUNCTION("IMPORTRANGE(""https://docs.google.com/spreadsheets/d/1SX6NBoVAgQJ6U1MVXOaj8PK2l7WJ3RER9xtqwdhxkhw/edit?usp=sharing"",""ตราด!J47"")"),0.0)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IFERROR(__xludf.DUMMYFUNCTION("IMPORTRANGE(""https://docs.google.com/spreadsheets/d/1SX6NBoVAgQJ6U1MVXOaj8PK2l7WJ3RER9xtqwdhxkhw/edit?usp=sharing"",""ตราด!I48"")"),0.0)</f>
        <v>0</v>
      </c>
      <c r="J113" s="238">
        <f>IFERROR(__xludf.DUMMYFUNCTION("IMPORTRANGE(""https://docs.google.com/spreadsheets/d/1SX6NBoVAgQJ6U1MVXOaj8PK2l7WJ3RER9xtqwdhxkhw/edit?usp=sharing"",""ตราด!J48"")"),0.0)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IFERROR(__xludf.DUMMYFUNCTION("IMPORTRANGE(""https://docs.google.com/spreadsheets/d/1SX6NBoVAgQJ6U1MVXOaj8PK2l7WJ3RER9xtqwdhxkhw/edit?usp=sharing"",""ตราด!J49"")"),0.0)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IFERROR(__xludf.DUMMYFUNCTION("IMPORTRANGE(""https://docs.google.com/spreadsheets/d/1SX6NBoVAgQJ6U1MVXOaj8PK2l7WJ3RER9xtqwdhxkhw/edit?usp=sharing"",""ตราด!J50"")"),0.0)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IFERROR(__xludf.DUMMYFUNCTION("IMPORTRANGE(""https://docs.google.com/spreadsheets/d/1SX6NBoVAgQJ6U1MVXOaj8PK2l7WJ3RER9xtqwdhxkhw/edit?usp=sharing"",""ตราด!I52"")"),0.0)</f>
        <v>0</v>
      </c>
      <c r="J117" s="172">
        <f>IFERROR(__xludf.DUMMYFUNCTION("IMPORTRANGE(""https://docs.google.com/spreadsheets/d/1SX6NBoVAgQJ6U1MVXOaj8PK2l7WJ3RER9xtqwdhxkhw/edit?usp=sharing"",""ตราด!J52"")"),0.0)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IFERROR(__xludf.DUMMYFUNCTION("IMPORTRANGE(""https://docs.google.com/spreadsheets/d/1Yj_ptqi66GCucihVvJfMjLAmec39IyEx_6qawtMGysU/edit?usp=sharing"",""สบก!BA64"")"),0.0)</f>
        <v>0</v>
      </c>
      <c r="N122" s="203">
        <f>IFERROR(__xludf.DUMMYFUNCTION("IMPORTRANGE(""https://docs.google.com/spreadsheets/d/1Yj_ptqi66GCucihVvJfMjLAmec39IyEx_6qawtMGysU/edit?usp=sharing"",""สบก!BB64"")"),0.0)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IFERROR(__xludf.DUMMYFUNCTION("IMPORTRANGE(""https://docs.google.com/spreadsheets/d/1Yj_ptqi66GCucihVvJfMjLAmec39IyEx_6qawtMGysU/edit?usp=sharing"",""สบก!AW64"")"),0.0)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IFERROR(__xludf.DUMMYFUNCTION("IMPORTRANGE(""https://docs.google.com/spreadsheets/d/1Yj_ptqi66GCucihVvJfMjLAmec39IyEx_6qawtMGysU/edit?usp=sharing"",""สบก!AX64"")"),0.0)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IFERROR(__xludf.DUMMYFUNCTION("IMPORTRANGE(""https://docs.google.com/spreadsheets/d/1Yj_ptqi66GCucihVvJfMjLAmec39IyEx_6qawtMGysU/edit?usp=sharing"",""สบก!AY64"")"),0.0)</f>
        <v>0</v>
      </c>
      <c r="M126" s="70"/>
      <c r="N126" s="70">
        <f>IFERROR(__xludf.DUMMYFUNCTION("IMPORTRANGE(""https://docs.google.com/spreadsheets/d/1Yj_ptqi66GCucihVvJfMjLAmec39IyEx_6qawtMGysU/edit?usp=sharing"",""สบก!BC64"")"),0.0)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250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IFERROR(__xludf.DUMMYFUNCTION("IMPORTRANGE(""https://docs.google.com/spreadsheets/d/1SX6NBoVAgQJ6U1MVXOaj8PK2l7WJ3RER9xtqwdhxkhw/edit?usp=sharing"",""ตราด!J58"")"),0.0)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IFERROR(__xludf.DUMMYFUNCTION("IMPORTRANGE(""https://docs.google.com/spreadsheets/d/1SX6NBoVAgQJ6U1MVXOaj8PK2l7WJ3RER9xtqwdhxkhw/edit?usp=sharing"",""ตราด!J59"")"),0.0)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IFERROR(__xludf.DUMMYFUNCTION("IMPORTRANGE(""https://docs.google.com/spreadsheets/d/1SX6NBoVAgQJ6U1MVXOaj8PK2l7WJ3RER9xtqwdhxkhw/edit?usp=sharing"",""ตราด!J60"")"),0.0)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IFERROR(__xludf.DUMMYFUNCTION("IMPORTRANGE(""https://docs.google.com/spreadsheets/d/1SX6NBoVAgQJ6U1MVXOaj8PK2l7WJ3RER9xtqwdhxkhw/edit?usp=sharing"",""ตราด!J61"")"),0.0)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IFERROR(__xludf.DUMMYFUNCTION("IMPORTRANGE(""https://docs.google.com/spreadsheets/d/1SX6NBoVAgQJ6U1MVXOaj8PK2l7WJ3RER9xtqwdhxkhw/edit?usp=sharing"",""ตราด!I62"")"),0.0)</f>
        <v>0</v>
      </c>
      <c r="J132" s="238">
        <f>IFERROR(__xludf.DUMMYFUNCTION("IMPORTRANGE(""https://docs.google.com/spreadsheets/d/1SX6NBoVAgQJ6U1MVXOaj8PK2l7WJ3RER9xtqwdhxkhw/edit?usp=sharing"",""ตราด!J62"")"),0.0)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IFERROR(__xludf.DUMMYFUNCTION("IMPORTRANGE(""https://docs.google.com/spreadsheets/d/1SX6NBoVAgQJ6U1MVXOaj8PK2l7WJ3RER9xtqwdhxkhw/edit?usp=sharing"",""ตราด!I63"")"),0.0)</f>
        <v>0</v>
      </c>
      <c r="J133" s="238">
        <f>IFERROR(__xludf.DUMMYFUNCTION("IMPORTRANGE(""https://docs.google.com/spreadsheets/d/1SX6NBoVAgQJ6U1MVXOaj8PK2l7WJ3RER9xtqwdhxkhw/edit?usp=sharing"",""ตราด!J63"")"),0.0)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IFERROR(__xludf.DUMMYFUNCTION("IMPORTRANGE(""https://docs.google.com/spreadsheets/d/1SX6NBoVAgQJ6U1MVXOaj8PK2l7WJ3RER9xtqwdhxkhw/edit?usp=sharing"",""ตราด!J64"")"),0.0)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IFERROR(__xludf.DUMMYFUNCTION("IMPORTRANGE(""https://docs.google.com/spreadsheets/d/1SX6NBoVAgQJ6U1MVXOaj8PK2l7WJ3RER9xtqwdhxkhw/edit?usp=sharing"",""ตราด!J65"")"),0.0)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IFERROR(__xludf.DUMMYFUNCTION("IMPORTRANGE(""https://docs.google.com/spreadsheets/d/1SX6NBoVAgQJ6U1MVXOaj8PK2l7WJ3RER9xtqwdhxkhw/edit?usp=sharing"",""ตราด!I68"")"),0.0)</f>
        <v>0</v>
      </c>
      <c r="J138" s="301">
        <f>IFERROR(__xludf.DUMMYFUNCTION("IMPORTRANGE(""https://docs.google.com/spreadsheets/d/1SX6NBoVAgQJ6U1MVXOaj8PK2l7WJ3RER9xtqwdhxkhw/edit?usp=sharing"",""ตราด!J68"")"),0.0)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43100</v>
      </c>
      <c r="M140" s="183">
        <f t="shared" si="65"/>
        <v>27750</v>
      </c>
      <c r="N140" s="183">
        <f t="shared" si="65"/>
        <v>24020</v>
      </c>
      <c r="O140" s="182">
        <f t="shared" ref="O140:O142" si="67">IF(L140&gt;0,N140*100/L140,0)</f>
        <v>55.73085847</v>
      </c>
      <c r="P140" s="182">
        <f t="shared" ref="P140:P142" si="68">IF(M140&gt;0,N140*100/M140,0)</f>
        <v>86.55855856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43100</v>
      </c>
      <c r="M142" s="188">
        <f t="shared" si="69"/>
        <v>27750</v>
      </c>
      <c r="N142" s="188">
        <f t="shared" si="69"/>
        <v>24020</v>
      </c>
      <c r="O142" s="187">
        <f t="shared" si="67"/>
        <v>55.73085847</v>
      </c>
      <c r="P142" s="187">
        <f t="shared" si="68"/>
        <v>86.55855856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43100</v>
      </c>
      <c r="M144" s="200">
        <f>IFERROR(__xludf.DUMMYFUNCTION("IMPORTRANGE(""https://docs.google.com/spreadsheets/d/1Yj_ptqi66GCucihVvJfMjLAmec39IyEx_6qawtMGysU/edit?usp=sharing"",""สบก!BJ64"")"),27750.0)</f>
        <v>27750</v>
      </c>
      <c r="N144" s="203">
        <f>IFERROR(__xludf.DUMMYFUNCTION("IMPORTRANGE(""https://docs.google.com/spreadsheets/d/1Yj_ptqi66GCucihVvJfMjLAmec39IyEx_6qawtMGysU/edit?usp=sharing"",""สบก!BK64"")"),24020.0)</f>
        <v>24020</v>
      </c>
      <c r="O144" s="203">
        <f>IF(L144&gt;0,N144*100/L144,0)</f>
        <v>55.73085847</v>
      </c>
      <c r="P144" s="203">
        <f>IF(M144&gt;0,N144*100/M144,0)</f>
        <v>86.55855856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IFERROR(__xludf.DUMMYFUNCTION("IMPORTRANGE(""https://docs.google.com/spreadsheets/d/1Yj_ptqi66GCucihVvJfMjLAmec39IyEx_6qawtMGysU/edit?usp=sharing"",""สบก!BF64"")"),0.0)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IFERROR(__xludf.DUMMYFUNCTION("IMPORTRANGE(""https://docs.google.com/spreadsheets/d/1Yj_ptqi66GCucihVvJfMjLAmec39IyEx_6qawtMGysU/edit?usp=sharing"",""สบก!BG64"")"),43100.0)</f>
        <v>43100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IFERROR(__xludf.DUMMYFUNCTION("IMPORTRANGE(""https://docs.google.com/spreadsheets/d/1Yj_ptqi66GCucihVvJfMjLAmec39IyEx_6qawtMGysU/edit?usp=sharing"",""สบก!BH64"")"),0.0)</f>
        <v>0</v>
      </c>
      <c r="M148" s="70"/>
      <c r="N148" s="70">
        <f>IFERROR(__xludf.DUMMYFUNCTION("IMPORTRANGE(""https://docs.google.com/spreadsheets/d/1Yj_ptqi66GCucihVvJfMjLAmec39IyEx_6qawtMGysU/edit?usp=sharing"",""สบก!BL64"")"),0.0)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IFERROR(__xludf.DUMMYFUNCTION("IMPORTRANGE(""https://docs.google.com/spreadsheets/d/1SX6NBoVAgQJ6U1MVXOaj8PK2l7WJ3RER9xtqwdhxkhw/edit?usp=sharing"",""ตราด!I74"")"),4.0)</f>
        <v>4</v>
      </c>
      <c r="J149" s="309">
        <f>IFERROR(__xludf.DUMMYFUNCTION("IMPORTRANGE(""https://docs.google.com/spreadsheets/d/1SX6NBoVAgQJ6U1MVXOaj8PK2l7WJ3RER9xtqwdhxkhw/edit?usp=sharing"",""ตราด!J74"")"),1.0)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IFERROR(__xludf.DUMMYFUNCTION("IMPORTRANGE(""https://docs.google.com/spreadsheets/d/1SX6NBoVAgQJ6U1MVXOaj8PK2l7WJ3RER9xtqwdhxkhw/edit?usp=sharing"",""ตราด!J79"")"),0.0)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IFERROR(__xludf.DUMMYFUNCTION("IMPORTRANGE(""https://docs.google.com/spreadsheets/d/1SX6NBoVAgQJ6U1MVXOaj8PK2l7WJ3RER9xtqwdhxkhw/edit?usp=sharing"",""ตราด!J80"")"),1.0)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IFERROR(__xludf.DUMMYFUNCTION("IMPORTRANGE(""https://docs.google.com/spreadsheets/d/1SX6NBoVAgQJ6U1MVXOaj8PK2l7WJ3RER9xtqwdhxkhw/edit?usp=sharing"",""ตราด!J81"")"),1.0)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IFERROR(__xludf.DUMMYFUNCTION("IMPORTRANGE(""https://docs.google.com/spreadsheets/d/1SX6NBoVAgQJ6U1MVXOaj8PK2l7WJ3RER9xtqwdhxkhw/edit?usp=sharing"",""ตราด!J82"")"),1.0)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IFERROR(__xludf.DUMMYFUNCTION("IMPORTRANGE(""https://docs.google.com/spreadsheets/d/1SX6NBoVAgQJ6U1MVXOaj8PK2l7WJ3RER9xtqwdhxkhw/edit?usp=sharing"",""ตราด!I83"")"),4.0)</f>
        <v>4</v>
      </c>
      <c r="J158" s="223">
        <f>IFERROR(__xludf.DUMMYFUNCTION("IMPORTRANGE(""https://docs.google.com/spreadsheets/d/1SX6NBoVAgQJ6U1MVXOaj8PK2l7WJ3RER9xtqwdhxkhw/edit?usp=sharing"",""ตราด!J83"")"),1.0)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IFERROR(__xludf.DUMMYFUNCTION("IMPORTRANGE(""https://docs.google.com/spreadsheets/d/1SX6NBoVAgQJ6U1MVXOaj8PK2l7WJ3RER9xtqwdhxkhw/edit?usp=sharing"",""ตราด!J84"")"),19.0)</f>
        <v>19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IFERROR(__xludf.DUMMYFUNCTION("IMPORTRANGE(""https://docs.google.com/spreadsheets/d/1SX6NBoVAgQJ6U1MVXOaj8PK2l7WJ3RER9xtqwdhxkhw/edit?usp=sharing"",""ตราด!J85"")"),19.0)</f>
        <v>19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IFERROR(__xludf.DUMMYFUNCTION("IMPORTRANGE(""https://docs.google.com/spreadsheets/d/1SX6NBoVAgQJ6U1MVXOaj8PK2l7WJ3RER9xtqwdhxkhw/edit?usp=sharing"",""ตราด!J86"")"),0.0)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IFERROR(__xludf.DUMMYFUNCTION("IMPORTRANGE(""https://docs.google.com/spreadsheets/d/1SX6NBoVAgQJ6U1MVXOaj8PK2l7WJ3RER9xtqwdhxkhw/edit?usp=sharing"",""ตราด!J87"")"),0.0)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IFERROR(__xludf.DUMMYFUNCTION("IMPORTRANGE(""https://docs.google.com/spreadsheets/d/1SX6NBoVAgQJ6U1MVXOaj8PK2l7WJ3RER9xtqwdhxkhw/edit?usp=sharing"",""ตราด!J88"")"),0.0)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IFERROR(__xludf.DUMMYFUNCTION("IMPORTRANGE(""https://docs.google.com/spreadsheets/d/1SX6NBoVAgQJ6U1MVXOaj8PK2l7WJ3RER9xtqwdhxkhw/edit?usp=sharing"",""ตราด!I89"")"),1.0)</f>
        <v>1</v>
      </c>
      <c r="J164" s="317">
        <f>IFERROR(__xludf.DUMMYFUNCTION("IMPORTRANGE(""https://docs.google.com/spreadsheets/d/1SX6NBoVAgQJ6U1MVXOaj8PK2l7WJ3RER9xtqwdhxkhw/edit?usp=sharing"",""ตราด!J89"")"),1.0)</f>
        <v>1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IFERROR(__xludf.DUMMYFUNCTION("IMPORTRANGE(""https://docs.google.com/spreadsheets/d/1SX6NBoVAgQJ6U1MVXOaj8PK2l7WJ3RER9xtqwdhxkhw/edit?usp=sharing"",""ตราด!J94"")"),0.0)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IFERROR(__xludf.DUMMYFUNCTION("IMPORTRANGE(""https://docs.google.com/spreadsheets/d/1SX6NBoVAgQJ6U1MVXOaj8PK2l7WJ3RER9xtqwdhxkhw/edit?usp=sharing"",""ตราด!J95"")"),1.0)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IFERROR(__xludf.DUMMYFUNCTION("IMPORTRANGE(""https://docs.google.com/spreadsheets/d/1SX6NBoVAgQJ6U1MVXOaj8PK2l7WJ3RER9xtqwdhxkhw/edit?usp=sharing"",""ตราด!J96"")"),1.0)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IFERROR(__xludf.DUMMYFUNCTION("IMPORTRANGE(""https://docs.google.com/spreadsheets/d/1SX6NBoVAgQJ6U1MVXOaj8PK2l7WJ3RER9xtqwdhxkhw/edit?usp=sharing"",""ตราด!J97"")"),1.0)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IFERROR(__xludf.DUMMYFUNCTION("IMPORTRANGE(""https://docs.google.com/spreadsheets/d/1SX6NBoVAgQJ6U1MVXOaj8PK2l7WJ3RER9xtqwdhxkhw/edit?usp=sharing"",""ตราด!I98"")"),1.0)</f>
        <v>1</v>
      </c>
      <c r="J173" s="223">
        <f>IFERROR(__xludf.DUMMYFUNCTION("IMPORTRANGE(""https://docs.google.com/spreadsheets/d/1SX6NBoVAgQJ6U1MVXOaj8PK2l7WJ3RER9xtqwdhxkhw/edit?usp=sharing"",""ตราด!J98"")"),1.0)</f>
        <v>1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IFERROR(__xludf.DUMMYFUNCTION("IMPORTRANGE(""https://docs.google.com/spreadsheets/d/1SX6NBoVAgQJ6U1MVXOaj8PK2l7WJ3RER9xtqwdhxkhw/edit?usp=sharing"",""ตราด!J99"")"),0.0)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IFERROR(__xludf.DUMMYFUNCTION("IMPORTRANGE(""https://docs.google.com/spreadsheets/d/1SX6NBoVAgQJ6U1MVXOaj8PK2l7WJ3RER9xtqwdhxkhw/edit?usp=sharing"",""ตราด!J100"")"),0.0)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IFERROR(__xludf.DUMMYFUNCTION("IMPORTRANGE(""https://docs.google.com/spreadsheets/d/1SX6NBoVAgQJ6U1MVXOaj8PK2l7WJ3RER9xtqwdhxkhw/edit?usp=sharing"",""ตราด!I101"")"),1.0)</f>
        <v>1</v>
      </c>
      <c r="J176" s="317">
        <f>IFERROR(__xludf.DUMMYFUNCTION("IMPORTRANGE(""https://docs.google.com/spreadsheets/d/1SX6NBoVAgQJ6U1MVXOaj8PK2l7WJ3RER9xtqwdhxkhw/edit?usp=sharing"",""ตราด!J101"")"),1.0)</f>
        <v>1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IFERROR(__xludf.DUMMYFUNCTION("IMPORTRANGE(""https://docs.google.com/spreadsheets/d/1SX6NBoVAgQJ6U1MVXOaj8PK2l7WJ3RER9xtqwdhxkhw/edit?usp=sharing"",""ตราด!J106"")"),0.0)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IFERROR(__xludf.DUMMYFUNCTION("IMPORTRANGE(""https://docs.google.com/spreadsheets/d/1SX6NBoVAgQJ6U1MVXOaj8PK2l7WJ3RER9xtqwdhxkhw/edit?usp=sharing"",""ตราด!J107"")"),1.0)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IFERROR(__xludf.DUMMYFUNCTION("IMPORTRANGE(""https://docs.google.com/spreadsheets/d/1SX6NBoVAgQJ6U1MVXOaj8PK2l7WJ3RER9xtqwdhxkhw/edit?usp=sharing"",""ตราด!J108"")"),1.0)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IFERROR(__xludf.DUMMYFUNCTION("IMPORTRANGE(""https://docs.google.com/spreadsheets/d/1SX6NBoVAgQJ6U1MVXOaj8PK2l7WJ3RER9xtqwdhxkhw/edit?usp=sharing"",""ตราด!J109"")"),1.0)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IFERROR(__xludf.DUMMYFUNCTION("IMPORTRANGE(""https://docs.google.com/spreadsheets/d/1SX6NBoVAgQJ6U1MVXOaj8PK2l7WJ3RER9xtqwdhxkhw/edit?usp=sharing"",""ตราด!I110"")"),1.0)</f>
        <v>1</v>
      </c>
      <c r="J185" s="238">
        <f>IFERROR(__xludf.DUMMYFUNCTION("IMPORTRANGE(""https://docs.google.com/spreadsheets/d/1SX6NBoVAgQJ6U1MVXOaj8PK2l7WJ3RER9xtqwdhxkhw/edit?usp=sharing"",""ตราด!J110"")"),0.0)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IFERROR(__xludf.DUMMYFUNCTION("IMPORTRANGE(""https://docs.google.com/spreadsheets/d/1SX6NBoVAgQJ6U1MVXOaj8PK2l7WJ3RER9xtqwdhxkhw/edit?usp=sharing"",""ตราด!I111"")"),1.0)</f>
        <v>1</v>
      </c>
      <c r="J186" s="238">
        <f>IFERROR(__xludf.DUMMYFUNCTION("IMPORTRANGE(""https://docs.google.com/spreadsheets/d/1SX6NBoVAgQJ6U1MVXOaj8PK2l7WJ3RER9xtqwdhxkhw/edit?usp=sharing"",""ตราด!J111"")"),1.0)</f>
        <v>1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IFERROR(__xludf.DUMMYFUNCTION("IMPORTRANGE(""https://docs.google.com/spreadsheets/d/1SX6NBoVAgQJ6U1MVXOaj8PK2l7WJ3RER9xtqwdhxkhw/edit?usp=sharing"",""ตราด!J112"")"),0.0)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IFERROR(__xludf.DUMMYFUNCTION("IMPORTRANGE(""https://docs.google.com/spreadsheets/d/1SX6NBoVAgQJ6U1MVXOaj8PK2l7WJ3RER9xtqwdhxkhw/edit?usp=sharing"",""ตราด!J113"")"),0.0)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IFERROR(__xludf.DUMMYFUNCTION("IMPORTRANGE(""https://docs.google.com/spreadsheets/d/1SX6NBoVAgQJ6U1MVXOaj8PK2l7WJ3RER9xtqwdhxkhw/edit?usp=sharing"",""ตราด!I114"")"),3200.0)</f>
        <v>3200</v>
      </c>
      <c r="J189" s="317">
        <f>IFERROR(__xludf.DUMMYFUNCTION("IMPORTRANGE(""https://docs.google.com/spreadsheets/d/1SX6NBoVAgQJ6U1MVXOaj8PK2l7WJ3RER9xtqwdhxkhw/edit?usp=sharing"",""ตราด!J114"")"),0.0)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IFERROR(__xludf.DUMMYFUNCTION("IMPORTRANGE(""https://docs.google.com/spreadsheets/d/1SX6NBoVAgQJ6U1MVXOaj8PK2l7WJ3RER9xtqwdhxkhw/edit?usp=sharing"",""ตราด!J119"")"),1.0)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IFERROR(__xludf.DUMMYFUNCTION("IMPORTRANGE(""https://docs.google.com/spreadsheets/d/1SX6NBoVAgQJ6U1MVXOaj8PK2l7WJ3RER9xtqwdhxkhw/edit?usp=sharing"",""ตราด!J120"")"),0.0)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IFERROR(__xludf.DUMMYFUNCTION("IMPORTRANGE(""https://docs.google.com/spreadsheets/d/1SX6NBoVAgQJ6U1MVXOaj8PK2l7WJ3RER9xtqwdhxkhw/edit?usp=sharing"",""ตราด!J121"")"),0.0)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IFERROR(__xludf.DUMMYFUNCTION("IMPORTRANGE(""https://docs.google.com/spreadsheets/d/1SX6NBoVAgQJ6U1MVXOaj8PK2l7WJ3RER9xtqwdhxkhw/edit?usp=sharing"",""ตราด!J122"")"),0.0)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IFERROR(__xludf.DUMMYFUNCTION("IMPORTRANGE(""https://docs.google.com/spreadsheets/d/1SX6NBoVAgQJ6U1MVXOaj8PK2l7WJ3RER9xtqwdhxkhw/edit?usp=sharing"",""ตราด!I124"")"),3200.0)</f>
        <v>3200</v>
      </c>
      <c r="J199" s="223">
        <f>IFERROR(__xludf.DUMMYFUNCTION("IMPORTRANGE(""https://docs.google.com/spreadsheets/d/1SX6NBoVAgQJ6U1MVXOaj8PK2l7WJ3RER9xtqwdhxkhw/edit?usp=sharing"",""ตราด!J124"")"),0.0)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IFERROR(__xludf.DUMMYFUNCTION("IMPORTRANGE(""https://docs.google.com/spreadsheets/d/1SX6NBoVAgQJ6U1MVXOaj8PK2l7WJ3RER9xtqwdhxkhw/edit?usp=sharing"",""ตราด!I125"")"),3200.0)</f>
        <v>3200</v>
      </c>
      <c r="J200" s="223">
        <f>IFERROR(__xludf.DUMMYFUNCTION("IMPORTRANGE(""https://docs.google.com/spreadsheets/d/1SX6NBoVAgQJ6U1MVXOaj8PK2l7WJ3RER9xtqwdhxkhw/edit?usp=sharing"",""ตราด!J125"")"),0.0)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IFERROR(__xludf.DUMMYFUNCTION("IMPORTRANGE(""https://docs.google.com/spreadsheets/d/1SX6NBoVAgQJ6U1MVXOaj8PK2l7WJ3RER9xtqwdhxkhw/edit?usp=sharing"",""ตราด!I126"")"),0.0)</f>
        <v>0</v>
      </c>
      <c r="J201" s="223">
        <f>IFERROR(__xludf.DUMMYFUNCTION("IMPORTRANGE(""https://docs.google.com/spreadsheets/d/1SX6NBoVAgQJ6U1MVXOaj8PK2l7WJ3RER9xtqwdhxkhw/edit?usp=sharing"",""ตราด!J126"")"),0.0)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IFERROR(__xludf.DUMMYFUNCTION("IMPORTRANGE(""https://docs.google.com/spreadsheets/d/1SX6NBoVAgQJ6U1MVXOaj8PK2l7WJ3RER9xtqwdhxkhw/edit?usp=sharing"",""ตราด!J127"")"),0.0)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IFERROR(__xludf.DUMMYFUNCTION("IMPORTRANGE(""https://docs.google.com/spreadsheets/d/1SX6NBoVAgQJ6U1MVXOaj8PK2l7WJ3RER9xtqwdhxkhw/edit?usp=sharing"",""ตราด!J128"")"),0.0)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IFERROR(__xludf.DUMMYFUNCTION("IMPORTRANGE(""https://docs.google.com/spreadsheets/d/1SX6NBoVAgQJ6U1MVXOaj8PK2l7WJ3RER9xtqwdhxkhw/edit?usp=sharing"",""ตราด!I129"")"),0.0)</f>
        <v>0</v>
      </c>
      <c r="J204" s="317">
        <f>IFERROR(__xludf.DUMMYFUNCTION("IMPORTRANGE(""https://docs.google.com/spreadsheets/d/1SX6NBoVAgQJ6U1MVXOaj8PK2l7WJ3RER9xtqwdhxkhw/edit?usp=sharing"",""ตราด!J129"")"),0.0)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IFERROR(__xludf.DUMMYFUNCTION("IMPORTRANGE(""https://docs.google.com/spreadsheets/d/1SX6NBoVAgQJ6U1MVXOaj8PK2l7WJ3RER9xtqwdhxkhw/edit?usp=sharing"",""ตราด!J134"")"),0.0)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IFERROR(__xludf.DUMMYFUNCTION("IMPORTRANGE(""https://docs.google.com/spreadsheets/d/1SX6NBoVAgQJ6U1MVXOaj8PK2l7WJ3RER9xtqwdhxkhw/edit?usp=sharing"",""ตราด!J135"")"),0.0)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IFERROR(__xludf.DUMMYFUNCTION("IMPORTRANGE(""https://docs.google.com/spreadsheets/d/1SX6NBoVAgQJ6U1MVXOaj8PK2l7WJ3RER9xtqwdhxkhw/edit?usp=sharing"",""ตราด!J136"")"),0.0)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IFERROR(__xludf.DUMMYFUNCTION("IMPORTRANGE(""https://docs.google.com/spreadsheets/d/1SX6NBoVAgQJ6U1MVXOaj8PK2l7WJ3RER9xtqwdhxkhw/edit?usp=sharing"",""ตราด!J137"")"),0.0)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IFERROR(__xludf.DUMMYFUNCTION("IMPORTRANGE(""https://docs.google.com/spreadsheets/d/1SX6NBoVAgQJ6U1MVXOaj8PK2l7WJ3RER9xtqwdhxkhw/edit?usp=sharing"",""ตราด!I138"")"),0.0)</f>
        <v>0</v>
      </c>
      <c r="J213" s="238">
        <f>IFERROR(__xludf.DUMMYFUNCTION("IMPORTRANGE(""https://docs.google.com/spreadsheets/d/1SX6NBoVAgQJ6U1MVXOaj8PK2l7WJ3RER9xtqwdhxkhw/edit?usp=sharing"",""ตราด!J138"")"),0.0)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IFERROR(__xludf.DUMMYFUNCTION("IMPORTRANGE(""https://docs.google.com/spreadsheets/d/1SX6NBoVAgQJ6U1MVXOaj8PK2l7WJ3RER9xtqwdhxkhw/edit?usp=sharing"",""ตราด!I140"")"),0.0)</f>
        <v>0</v>
      </c>
      <c r="J215" s="238">
        <f>IFERROR(__xludf.DUMMYFUNCTION("IMPORTRANGE(""https://docs.google.com/spreadsheets/d/1SX6NBoVAgQJ6U1MVXOaj8PK2l7WJ3RER9xtqwdhxkhw/edit?usp=sharing"",""ตราด!J140"")"),0.0)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IFERROR(__xludf.DUMMYFUNCTION("IMPORTRANGE(""https://docs.google.com/spreadsheets/d/1SX6NBoVAgQJ6U1MVXOaj8PK2l7WJ3RER9xtqwdhxkhw/edit?usp=sharing"",""ตราด!I141"")"),0.0)</f>
        <v>0</v>
      </c>
      <c r="J216" s="238">
        <f>IFERROR(__xludf.DUMMYFUNCTION("IMPORTRANGE(""https://docs.google.com/spreadsheets/d/1SX6NBoVAgQJ6U1MVXOaj8PK2l7WJ3RER9xtqwdhxkhw/edit?usp=sharing"",""ตราด!J141"")"),0.0)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IFERROR(__xludf.DUMMYFUNCTION("IMPORTRANGE(""https://docs.google.com/spreadsheets/d/1SX6NBoVAgQJ6U1MVXOaj8PK2l7WJ3RER9xtqwdhxkhw/edit?usp=sharing"",""ตราด!J142"")"),0.0)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IFERROR(__xludf.DUMMYFUNCTION("IMPORTRANGE(""https://docs.google.com/spreadsheets/d/1SX6NBoVAgQJ6U1MVXOaj8PK2l7WJ3RER9xtqwdhxkhw/edit?usp=sharing"",""ตราด!J143"")"),0.0)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IFERROR(__xludf.DUMMYFUNCTION("IMPORTRANGE(""https://docs.google.com/spreadsheets/d/1SX6NBoVAgQJ6U1MVXOaj8PK2l7WJ3RER9xtqwdhxkhw/edit?usp=sharing"",""ตราด!I144"")"),14.0)</f>
        <v>14</v>
      </c>
      <c r="J219" s="301">
        <f>IFERROR(__xludf.DUMMYFUNCTION("IMPORTRANGE(""https://docs.google.com/spreadsheets/d/1SX6NBoVAgQJ6U1MVXOaj8PK2l7WJ3RER9xtqwdhxkhw/edit?usp=sharing"",""ตราด!J144"")"),14.0)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20210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20210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0">
        <f>IFERROR(__xludf.DUMMYFUNCTION("IMPORTRANGE(""https://docs.google.com/spreadsheets/d/1Yj_ptqi66GCucihVvJfMjLAmec39IyEx_6qawtMGysU/edit?usp=sharing"",""สบก!BS64"")"),20210.0)</f>
        <v>20210</v>
      </c>
      <c r="N224" s="203">
        <f>IFERROR(__xludf.DUMMYFUNCTION("IMPORTRANGE(""https://docs.google.com/spreadsheets/d/1Yj_ptqi66GCucihVvJfMjLAmec39IyEx_6qawtMGysU/edit?usp=sharing"",""สบก!BT64"")"),20210.0)</f>
        <v>20210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IFERROR(__xludf.DUMMYFUNCTION("IMPORTRANGE(""https://docs.google.com/spreadsheets/d/1Yj_ptqi66GCucihVvJfMjLAmec39IyEx_6qawtMGysU/edit?usp=sharing"",""สบก!BO64"")"),0.0)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IFERROR(__xludf.DUMMYFUNCTION("IMPORTRANGE(""https://docs.google.com/spreadsheets/d/1Yj_ptqi66GCucihVvJfMjLAmec39IyEx_6qawtMGysU/edit?usp=sharing"",""สบก!BP64"")"),20210.0)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IFERROR(__xludf.DUMMYFUNCTION("IMPORTRANGE(""https://docs.google.com/spreadsheets/d/1Yj_ptqi66GCucihVvJfMjLAmec39IyEx_6qawtMGysU/edit?usp=sharing"",""สบก!BQ64"")"),0.0)</f>
        <v>0</v>
      </c>
      <c r="M228" s="70"/>
      <c r="N228" s="70">
        <f>IFERROR(__xludf.DUMMYFUNCTION("IMPORTRANGE(""https://docs.google.com/spreadsheets/d/1Yj_ptqi66GCucihVvJfMjLAmec39IyEx_6qawtMGysU/edit?usp=sharing"",""สบก!BU64"")"),0.0)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IFERROR(__xludf.DUMMYFUNCTION("IMPORTRANGE(""https://docs.google.com/spreadsheets/d/1SX6NBoVAgQJ6U1MVXOaj8PK2l7WJ3RER9xtqwdhxkhw/edit?usp=sharing"",""ตราด!I149"")"),14.0)</f>
        <v>14</v>
      </c>
      <c r="J229" s="301">
        <f>IFERROR(__xludf.DUMMYFUNCTION("IMPORTRANGE(""https://docs.google.com/spreadsheets/d/1SX6NBoVAgQJ6U1MVXOaj8PK2l7WJ3RER9xtqwdhxkhw/edit?usp=sharing"",""ตราด!J149"")"),14.0)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IFERROR(__xludf.DUMMYFUNCTION("IMPORTRANGE(""https://docs.google.com/spreadsheets/d/1SX6NBoVAgQJ6U1MVXOaj8PK2l7WJ3RER9xtqwdhxkhw/edit?usp=sharing"",""ตราด!J151"")"),0.0)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IFERROR(__xludf.DUMMYFUNCTION("IMPORTRANGE(""https://docs.google.com/spreadsheets/d/1SX6NBoVAgQJ6U1MVXOaj8PK2l7WJ3RER9xtqwdhxkhw/edit?usp=sharing"",""ตราด!J152"")"),1.0)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IFERROR(__xludf.DUMMYFUNCTION("IMPORTRANGE(""https://docs.google.com/spreadsheets/d/1SX6NBoVAgQJ6U1MVXOaj8PK2l7WJ3RER9xtqwdhxkhw/edit?usp=sharing"",""ตราด!J153"")"),1.0)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IFERROR(__xludf.DUMMYFUNCTION("IMPORTRANGE(""https://docs.google.com/spreadsheets/d/1SX6NBoVAgQJ6U1MVXOaj8PK2l7WJ3RER9xtqwdhxkhw/edit?usp=sharing"",""ตราด!J154"")"),1.0)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IFERROR(__xludf.DUMMYFUNCTION("IMPORTRANGE(""https://docs.google.com/spreadsheets/d/1SX6NBoVAgQJ6U1MVXOaj8PK2l7WJ3RER9xtqwdhxkhw/edit?usp=sharing"",""ตราด!I155"")"),14.0)</f>
        <v>14</v>
      </c>
      <c r="J235" s="223">
        <f>IFERROR(__xludf.DUMMYFUNCTION("IMPORTRANGE(""https://docs.google.com/spreadsheets/d/1SX6NBoVAgQJ6U1MVXOaj8PK2l7WJ3RER9xtqwdhxkhw/edit?usp=sharing"",""ตราด!J155"")"),14.0)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IFERROR(__xludf.DUMMYFUNCTION("IMPORTRANGE(""https://docs.google.com/spreadsheets/d/1SX6NBoVAgQJ6U1MVXOaj8PK2l7WJ3RER9xtqwdhxkhw/edit?usp=sharing"",""ตราด!J156"")"),0.0)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IFERROR(__xludf.DUMMYFUNCTION("IMPORTRANGE(""https://docs.google.com/spreadsheets/d/1SX6NBoVAgQJ6U1MVXOaj8PK2l7WJ3RER9xtqwdhxkhw/edit?usp=sharing"",""ตราด!J157"")"),0.0)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IFERROR(__xludf.DUMMYFUNCTION("IMPORTRANGE(""https://docs.google.com/spreadsheets/d/1SX6NBoVAgQJ6U1MVXOaj8PK2l7WJ3RER9xtqwdhxkhw/edit?usp=sharing"",""ตราด!I158"")"),0.0)</f>
        <v>0</v>
      </c>
      <c r="J238" s="301">
        <f>IFERROR(__xludf.DUMMYFUNCTION("IMPORTRANGE(""https://docs.google.com/spreadsheets/d/1SX6NBoVAgQJ6U1MVXOaj8PK2l7WJ3RER9xtqwdhxkhw/edit?usp=sharing"",""ตราด!J158"")"),0.0)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IFERROR(__xludf.DUMMYFUNCTION("IMPORTRANGE(""https://docs.google.com/spreadsheets/d/1SX6NBoVAgQJ6U1MVXOaj8PK2l7WJ3RER9xtqwdhxkhw/edit?usp=sharing"",""ตราด!J159"")"),"")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IFERROR(__xludf.DUMMYFUNCTION("IMPORTRANGE(""https://docs.google.com/spreadsheets/d/1SX6NBoVAgQJ6U1MVXOaj8PK2l7WJ3RER9xtqwdhxkhw/edit?usp=sharing"",""ตราด!J161"")"),0.0)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IFERROR(__xludf.DUMMYFUNCTION("IMPORTRANGE(""https://docs.google.com/spreadsheets/d/1SX6NBoVAgQJ6U1MVXOaj8PK2l7WJ3RER9xtqwdhxkhw/edit?usp=sharing"",""ตราด!J162"")"),0.0)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IFERROR(__xludf.DUMMYFUNCTION("IMPORTRANGE(""https://docs.google.com/spreadsheets/d/1SX6NBoVAgQJ6U1MVXOaj8PK2l7WJ3RER9xtqwdhxkhw/edit?usp=sharing"",""ตราด!J163"")"),0.0)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IFERROR(__xludf.DUMMYFUNCTION("IMPORTRANGE(""https://docs.google.com/spreadsheets/d/1SX6NBoVAgQJ6U1MVXOaj8PK2l7WJ3RER9xtqwdhxkhw/edit?usp=sharing"",""ตราด!I164"")"),0.0)</f>
        <v>0</v>
      </c>
      <c r="J244" s="222">
        <f>IFERROR(__xludf.DUMMYFUNCTION("IMPORTRANGE(""https://docs.google.com/spreadsheets/d/1SX6NBoVAgQJ6U1MVXOaj8PK2l7WJ3RER9xtqwdhxkhw/edit?usp=sharing"",""ตราด!J164"")"),0.0)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IFERROR(__xludf.DUMMYFUNCTION("IMPORTRANGE(""https://docs.google.com/spreadsheets/d/1SX6NBoVAgQJ6U1MVXOaj8PK2l7WJ3RER9xtqwdhxkhw/edit?usp=sharing"",""ตราด!J165"")"),0.0)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IFERROR(__xludf.DUMMYFUNCTION("IMPORTRANGE(""https://docs.google.com/spreadsheets/d/1SX6NBoVAgQJ6U1MVXOaj8PK2l7WJ3RER9xtqwdhxkhw/edit?usp=sharing"",""ตราด!J166"")"),0.0)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IFERROR(__xludf.DUMMYFUNCTION("IMPORTRANGE(""https://docs.google.com/spreadsheets/d/1SX6NBoVAgQJ6U1MVXOaj8PK2l7WJ3RER9xtqwdhxkhw/edit?usp=sharing"",""ตราด!I169"")"),0.0)</f>
        <v>0</v>
      </c>
      <c r="J249" s="349">
        <f>IFERROR(__xludf.DUMMYFUNCTION("IMPORTRANGE(""https://docs.google.com/spreadsheets/d/1SX6NBoVAgQJ6U1MVXOaj8PK2l7WJ3RER9xtqwdhxkhw/edit?usp=sharing"",""ตราด!J169"")"),0.0)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IFERROR(__xludf.DUMMYFUNCTION("IMPORTRANGE(""https://docs.google.com/spreadsheets/d/1Yj_ptqi66GCucihVvJfMjLAmec39IyEx_6qawtMGysU/edit?usp=sharing"",""สบก!CB64"")"),0.0)</f>
        <v>0</v>
      </c>
      <c r="N254" s="203">
        <f>IFERROR(__xludf.DUMMYFUNCTION("IMPORTRANGE(""https://docs.google.com/spreadsheets/d/1Yj_ptqi66GCucihVvJfMjLAmec39IyEx_6qawtMGysU/edit?usp=sharing"",""สบก!CC64"")"),0.0)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IFERROR(__xludf.DUMMYFUNCTION("IMPORTRANGE(""https://docs.google.com/spreadsheets/d/1Yj_ptqi66GCucihVvJfMjLAmec39IyEx_6qawtMGysU/edit?usp=sharing"",""สบก!BX64"")"),0.0)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IFERROR(__xludf.DUMMYFUNCTION("IMPORTRANGE(""https://docs.google.com/spreadsheets/d/1Yj_ptqi66GCucihVvJfMjLAmec39IyEx_6qawtMGysU/edit?usp=sharing"",""สบก!BY64"")"),0.0)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IFERROR(__xludf.DUMMYFUNCTION("IMPORTRANGE(""https://docs.google.com/spreadsheets/d/1Yj_ptqi66GCucihVvJfMjLAmec39IyEx_6qawtMGysU/edit?usp=sharing"",""สบก!BZ64"")"),0.0)</f>
        <v>0</v>
      </c>
      <c r="M258" s="70"/>
      <c r="N258" s="70">
        <f>IFERROR(__xludf.DUMMYFUNCTION("IMPORTRANGE(""https://docs.google.com/spreadsheets/d/1Yj_ptqi66GCucihVvJfMjLAmec39IyEx_6qawtMGysU/edit?usp=sharing"",""สบก!CD64"")"),0.0)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IFERROR(__xludf.DUMMYFUNCTION("IMPORTRANGE(""https://docs.google.com/spreadsheets/d/1SX6NBoVAgQJ6U1MVXOaj8PK2l7WJ3RER9xtqwdhxkhw/edit?usp=sharing"",""ตราด!J175"")"),0.0)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IFERROR(__xludf.DUMMYFUNCTION("IMPORTRANGE(""https://docs.google.com/spreadsheets/d/1SX6NBoVAgQJ6U1MVXOaj8PK2l7WJ3RER9xtqwdhxkhw/edit?usp=sharing"",""ตราด!J176"")"),0.0)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IFERROR(__xludf.DUMMYFUNCTION("IMPORTRANGE(""https://docs.google.com/spreadsheets/d/1SX6NBoVAgQJ6U1MVXOaj8PK2l7WJ3RER9xtqwdhxkhw/edit?usp=sharing"",""ตราด!J177"")"),0.0)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IFERROR(__xludf.DUMMYFUNCTION("IMPORTRANGE(""https://docs.google.com/spreadsheets/d/1SX6NBoVAgQJ6U1MVXOaj8PK2l7WJ3RER9xtqwdhxkhw/edit?usp=sharing"",""ตราด!J178"")"),0.0)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IFERROR(__xludf.DUMMYFUNCTION("IMPORTRANGE(""https://docs.google.com/spreadsheets/d/1SX6NBoVAgQJ6U1MVXOaj8PK2l7WJ3RER9xtqwdhxkhw/edit?usp=sharing"",""ตราด!I179"")"),0.0)</f>
        <v>0</v>
      </c>
      <c r="J264" s="223">
        <f>IFERROR(__xludf.DUMMYFUNCTION("IMPORTRANGE(""https://docs.google.com/spreadsheets/d/1SX6NBoVAgQJ6U1MVXOaj8PK2l7WJ3RER9xtqwdhxkhw/edit?usp=sharing"",""ตราด!J179"")"),0.0)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IFERROR(__xludf.DUMMYFUNCTION("IMPORTRANGE(""https://docs.google.com/spreadsheets/d/1SX6NBoVAgQJ6U1MVXOaj8PK2l7WJ3RER9xtqwdhxkhw/edit?usp=sharing"",""ตราด!I180"")"),0.0)</f>
        <v>0</v>
      </c>
      <c r="J265" s="223">
        <f>IFERROR(__xludf.DUMMYFUNCTION("IMPORTRANGE(""https://docs.google.com/spreadsheets/d/1SX6NBoVAgQJ6U1MVXOaj8PK2l7WJ3RER9xtqwdhxkhw/edit?usp=sharing"",""ตราด!J180"")"),0.0)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IFERROR(__xludf.DUMMYFUNCTION("IMPORTRANGE(""https://docs.google.com/spreadsheets/d/1SX6NBoVAgQJ6U1MVXOaj8PK2l7WJ3RER9xtqwdhxkhw/edit?usp=sharing"",""ตราด!I181"")"),0.0)</f>
        <v>0</v>
      </c>
      <c r="J266" s="223">
        <f>IFERROR(__xludf.DUMMYFUNCTION("IMPORTRANGE(""https://docs.google.com/spreadsheets/d/1SX6NBoVAgQJ6U1MVXOaj8PK2l7WJ3RER9xtqwdhxkhw/edit?usp=sharing"",""ตราด!J181"")"),0.0)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IFERROR(__xludf.DUMMYFUNCTION("IMPORTRANGE(""https://docs.google.com/spreadsheets/d/1SX6NBoVAgQJ6U1MVXOaj8PK2l7WJ3RER9xtqwdhxkhw/edit?usp=sharing"",""ตราด!I182"")"),0.0)</f>
        <v>0</v>
      </c>
      <c r="J267" s="223">
        <f>IFERROR(__xludf.DUMMYFUNCTION("IMPORTRANGE(""https://docs.google.com/spreadsheets/d/1SX6NBoVAgQJ6U1MVXOaj8PK2l7WJ3RER9xtqwdhxkhw/edit?usp=sharing"",""ตราด!J182"")"),0.0)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IFERROR(__xludf.DUMMYFUNCTION("IMPORTRANGE(""https://docs.google.com/spreadsheets/d/1SX6NBoVAgQJ6U1MVXOaj8PK2l7WJ3RER9xtqwdhxkhw/edit?usp=sharing"",""ตราด!J183"")"),0.0)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IFERROR(__xludf.DUMMYFUNCTION("IMPORTRANGE(""https://docs.google.com/spreadsheets/d/1SX6NBoVAgQJ6U1MVXOaj8PK2l7WJ3RER9xtqwdhxkhw/edit?usp=sharing"",""ตราด!J184"")"),0.0)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IFERROR(__xludf.DUMMYFUNCTION("IMPORTRANGE(""https://docs.google.com/spreadsheets/d/1SX6NBoVAgQJ6U1MVXOaj8PK2l7WJ3RER9xtqwdhxkhw/edit?usp=sharing"",""ตราด!I185"")"),0.0)</f>
        <v>0</v>
      </c>
      <c r="J270" s="349">
        <f>IFERROR(__xludf.DUMMYFUNCTION("IMPORTRANGE(""https://docs.google.com/spreadsheets/d/1SX6NBoVAgQJ6U1MVXOaj8PK2l7WJ3RER9xtqwdhxkhw/edit?usp=sharing"",""ตราด!J185"")"),0.0)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0">
        <f>IFERROR(__xludf.DUMMYFUNCTION("IMPORTRANGE(""https://docs.google.com/spreadsheets/d/1Yj_ptqi66GCucihVvJfMjLAmec39IyEx_6qawtMGysU/edit?usp=sharing"",""สบก!CK64"")"),0.0)</f>
        <v>0</v>
      </c>
      <c r="N275" s="203">
        <f>IFERROR(__xludf.DUMMYFUNCTION("IMPORTRANGE(""https://docs.google.com/spreadsheets/d/1Yj_ptqi66GCucihVvJfMjLAmec39IyEx_6qawtMGysU/edit?usp=sharing"",""สบก!CL64"")"),0.0)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IFERROR(__xludf.DUMMYFUNCTION("IMPORTRANGE(""https://docs.google.com/spreadsheets/d/1Yj_ptqi66GCucihVvJfMjLAmec39IyEx_6qawtMGysU/edit?usp=sharing"",""สบก!CG64"")"),0.0)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IFERROR(__xludf.DUMMYFUNCTION("IMPORTRANGE(""https://docs.google.com/spreadsheets/d/1Yj_ptqi66GCucihVvJfMjLAmec39IyEx_6qawtMGysU/edit?usp=sharing"",""สบก!CH64"")"),0.0)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IFERROR(__xludf.DUMMYFUNCTION("IMPORTRANGE(""https://docs.google.com/spreadsheets/d/1Yj_ptqi66GCucihVvJfMjLAmec39IyEx_6qawtMGysU/edit?usp=sharing"",""สบก!CI64"")"),0.0)</f>
        <v>0</v>
      </c>
      <c r="M279" s="70"/>
      <c r="N279" s="70">
        <f>IFERROR(__xludf.DUMMYFUNCTION("IMPORTRANGE(""https://docs.google.com/spreadsheets/d/1Yj_ptqi66GCucihVvJfMjLAmec39IyEx_6qawtMGysU/edit?usp=sharing"",""สบก!CM64"")"),0.0)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IFERROR(__xludf.DUMMYFUNCTION("IMPORTRANGE(""https://docs.google.com/spreadsheets/d/1SX6NBoVAgQJ6U1MVXOaj8PK2l7WJ3RER9xtqwdhxkhw/edit?usp=sharing"",""ตราด!J191"")"),0.0)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IFERROR(__xludf.DUMMYFUNCTION("IMPORTRANGE(""https://docs.google.com/spreadsheets/d/1SX6NBoVAgQJ6U1MVXOaj8PK2l7WJ3RER9xtqwdhxkhw/edit?usp=sharing"",""ตราด!J192"")"),0.0)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IFERROR(__xludf.DUMMYFUNCTION("IMPORTRANGE(""https://docs.google.com/spreadsheets/d/1SX6NBoVAgQJ6U1MVXOaj8PK2l7WJ3RER9xtqwdhxkhw/edit?usp=sharing"",""ตราด!J193"")"),0.0)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IFERROR(__xludf.DUMMYFUNCTION("IMPORTRANGE(""https://docs.google.com/spreadsheets/d/1SX6NBoVAgQJ6U1MVXOaj8PK2l7WJ3RER9xtqwdhxkhw/edit?usp=sharing"",""ตราด!J194"")"),0.0)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IFERROR(__xludf.DUMMYFUNCTION("IMPORTRANGE(""https://docs.google.com/spreadsheets/d/1SX6NBoVAgQJ6U1MVXOaj8PK2l7WJ3RER9xtqwdhxkhw/edit?usp=sharing"",""ตราด!I195"")"),0.0)</f>
        <v>0</v>
      </c>
      <c r="J285" s="223">
        <f>IFERROR(__xludf.DUMMYFUNCTION("IMPORTRANGE(""https://docs.google.com/spreadsheets/d/1SX6NBoVAgQJ6U1MVXOaj8PK2l7WJ3RER9xtqwdhxkhw/edit?usp=sharing"",""ตราด!J195"")"),0.0)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IFERROR(__xludf.DUMMYFUNCTION("IMPORTRANGE(""https://docs.google.com/spreadsheets/d/1SX6NBoVAgQJ6U1MVXOaj8PK2l7WJ3RER9xtqwdhxkhw/edit?usp=sharing"",""ตราด!J196"")"),0.0)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IFERROR(__xludf.DUMMYFUNCTION("IMPORTRANGE(""https://docs.google.com/spreadsheets/d/1SX6NBoVAgQJ6U1MVXOaj8PK2l7WJ3RER9xtqwdhxkhw/edit?usp=sharing"",""ตราด!J197"")"),0.0)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IFERROR(__xludf.DUMMYFUNCTION("IMPORTRANGE(""https://docs.google.com/spreadsheets/d/1SX6NBoVAgQJ6U1MVXOaj8PK2l7WJ3RER9xtqwdhxkhw/edit?usp=sharing"",""ตราด!I199"")"),0.0)</f>
        <v>0</v>
      </c>
      <c r="J289" s="349">
        <f>IFERROR(__xludf.DUMMYFUNCTION("IMPORTRANGE(""https://docs.google.com/spreadsheets/d/1SX6NBoVAgQJ6U1MVXOaj8PK2l7WJ3RER9xtqwdhxkhw/edit?usp=sharing"",""ตราด!J199"")"),0.0)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IFERROR(__xludf.DUMMYFUNCTION("IMPORTRANGE(""https://docs.google.com/spreadsheets/d/1Yj_ptqi66GCucihVvJfMjLAmec39IyEx_6qawtMGysU/edit?usp=sharing"",""สบก!CT64"")"),0.0)</f>
        <v>0</v>
      </c>
      <c r="N294" s="203">
        <f>IFERROR(__xludf.DUMMYFUNCTION("IMPORTRANGE(""https://docs.google.com/spreadsheets/d/1Yj_ptqi66GCucihVvJfMjLAmec39IyEx_6qawtMGysU/edit?usp=sharing"",""สบก!CU64"")"),0.0)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IFERROR(__xludf.DUMMYFUNCTION("IMPORTRANGE(""https://docs.google.com/spreadsheets/d/1Yj_ptqi66GCucihVvJfMjLAmec39IyEx_6qawtMGysU/edit?usp=sharing"",""สบก!CP64"")"),0.0)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IFERROR(__xludf.DUMMYFUNCTION("IMPORTRANGE(""https://docs.google.com/spreadsheets/d/1Yj_ptqi66GCucihVvJfMjLAmec39IyEx_6qawtMGysU/edit?usp=sharing"",""สบก!CQ64"")"),0.0)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IFERROR(__xludf.DUMMYFUNCTION("IMPORTRANGE(""https://docs.google.com/spreadsheets/d/1Yj_ptqi66GCucihVvJfMjLAmec39IyEx_6qawtMGysU/edit?usp=sharing"",""สบก!CR64"")"),0.0)</f>
        <v>0</v>
      </c>
      <c r="M298" s="70"/>
      <c r="N298" s="70">
        <f>IFERROR(__xludf.DUMMYFUNCTION("IMPORTRANGE(""https://docs.google.com/spreadsheets/d/1Yj_ptqi66GCucihVvJfMjLAmec39IyEx_6qawtMGysU/edit?usp=sharing"",""สบก!CV64"")"),0.0)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IFERROR(__xludf.DUMMYFUNCTION("IMPORTRANGE(""https://docs.google.com/spreadsheets/d/1SX6NBoVAgQJ6U1MVXOaj8PK2l7WJ3RER9xtqwdhxkhw/edit?usp=sharing"",""ตราด!J205"")"),0.0)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IFERROR(__xludf.DUMMYFUNCTION("IMPORTRANGE(""https://docs.google.com/spreadsheets/d/1SX6NBoVAgQJ6U1MVXOaj8PK2l7WJ3RER9xtqwdhxkhw/edit?usp=sharing"",""ตราด!J206"")"),0.0)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IFERROR(__xludf.DUMMYFUNCTION("IMPORTRANGE(""https://docs.google.com/spreadsheets/d/1SX6NBoVAgQJ6U1MVXOaj8PK2l7WJ3RER9xtqwdhxkhw/edit?usp=sharing"",""ตราด!J207"")"),0.0)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IFERROR(__xludf.DUMMYFUNCTION("IMPORTRANGE(""https://docs.google.com/spreadsheets/d/1SX6NBoVAgQJ6U1MVXOaj8PK2l7WJ3RER9xtqwdhxkhw/edit?usp=sharing"",""ตราด!J208"")"),0.0)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IFERROR(__xludf.DUMMYFUNCTION("IMPORTRANGE(""https://docs.google.com/spreadsheets/d/1SX6NBoVAgQJ6U1MVXOaj8PK2l7WJ3RER9xtqwdhxkhw/edit?usp=sharing"",""ตราด!I209"")"),0.0)</f>
        <v>0</v>
      </c>
      <c r="J304" s="238">
        <f>IFERROR(__xludf.DUMMYFUNCTION("IMPORTRANGE(""https://docs.google.com/spreadsheets/d/1SX6NBoVAgQJ6U1MVXOaj8PK2l7WJ3RER9xtqwdhxkhw/edit?usp=sharing"",""ตราด!J209"")"),0.0)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IFERROR(__xludf.DUMMYFUNCTION("IMPORTRANGE(""https://docs.google.com/spreadsheets/d/1SX6NBoVAgQJ6U1MVXOaj8PK2l7WJ3RER9xtqwdhxkhw/edit?usp=sharing"",""ตราด!I211"")"),0.0)</f>
        <v>0</v>
      </c>
      <c r="J306" s="238">
        <f>IFERROR(__xludf.DUMMYFUNCTION("IMPORTRANGE(""https://docs.google.com/spreadsheets/d/1SX6NBoVAgQJ6U1MVXOaj8PK2l7WJ3RER9xtqwdhxkhw/edit?usp=sharing"",""ตราด!J211"")"),0.0)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IFERROR(__xludf.DUMMYFUNCTION("IMPORTRANGE(""https://docs.google.com/spreadsheets/d/1SX6NBoVAgQJ6U1MVXOaj8PK2l7WJ3RER9xtqwdhxkhw/edit?usp=sharing"",""ตราด!J212"")"),0.0)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IFERROR(__xludf.DUMMYFUNCTION("IMPORTRANGE(""https://docs.google.com/spreadsheets/d/1SX6NBoVAgQJ6U1MVXOaj8PK2l7WJ3RER9xtqwdhxkhw/edit?usp=sharing"",""ตราด!J213"")"),0.0)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IFERROR(__xludf.DUMMYFUNCTION("IMPORTRANGE(""https://docs.google.com/spreadsheets/d/1SX6NBoVAgQJ6U1MVXOaj8PK2l7WJ3RER9xtqwdhxkhw/edit?usp=sharing"",""ตราด!I214"")"),0.0)</f>
        <v>0</v>
      </c>
      <c r="J309" s="366">
        <f>IFERROR(__xludf.DUMMYFUNCTION("IMPORTRANGE(""https://docs.google.com/spreadsheets/d/1SX6NBoVAgQJ6U1MVXOaj8PK2l7WJ3RER9xtqwdhxkhw/edit?usp=sharing"",""ตราด!J214"")"),0.0)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IFERROR(__xludf.DUMMYFUNCTION("IMPORTRANGE(""https://docs.google.com/spreadsheets/d/1Yj_ptqi66GCucihVvJfMjLAmec39IyEx_6qawtMGysU/edit?usp=sharing"",""สบก!DC64"")"),0.0)</f>
        <v>0</v>
      </c>
      <c r="N314" s="203">
        <f>IFERROR(__xludf.DUMMYFUNCTION("IMPORTRANGE(""https://docs.google.com/spreadsheets/d/1Yj_ptqi66GCucihVvJfMjLAmec39IyEx_6qawtMGysU/edit?usp=sharing"",""สบก!DD64"")"),0.0)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IFERROR(__xludf.DUMMYFUNCTION("IMPORTRANGE(""https://docs.google.com/spreadsheets/d/1Yj_ptqi66GCucihVvJfMjLAmec39IyEx_6qawtMGysU/edit?usp=sharing"",""สบก!CY64"")"),0.0)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IFERROR(__xludf.DUMMYFUNCTION("IMPORTRANGE(""https://docs.google.com/spreadsheets/d/1Yj_ptqi66GCucihVvJfMjLAmec39IyEx_6qawtMGysU/edit?usp=sharing"",""สบก!CZ64"")"),0.0)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IFERROR(__xludf.DUMMYFUNCTION("IMPORTRANGE(""https://docs.google.com/spreadsheets/d/1Yj_ptqi66GCucihVvJfMjLAmec39IyEx_6qawtMGysU/edit?usp=sharing"",""สบก!DA64"")"),0.0)</f>
        <v>0</v>
      </c>
      <c r="M318" s="70"/>
      <c r="N318" s="70">
        <f>IFERROR(__xludf.DUMMYFUNCTION("IMPORTRANGE(""https://docs.google.com/spreadsheets/d/1Yj_ptqi66GCucihVvJfMjLAmec39IyEx_6qawtMGysU/edit?usp=sharing"",""สบก!DE64"")"),0.0)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IFERROR(__xludf.DUMMYFUNCTION("IMPORTRANGE(""https://docs.google.com/spreadsheets/d/1SX6NBoVAgQJ6U1MVXOaj8PK2l7WJ3RER9xtqwdhxkhw/edit?usp=sharing"",""ตราด!J220"")"),0.0)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IFERROR(__xludf.DUMMYFUNCTION("IMPORTRANGE(""https://docs.google.com/spreadsheets/d/1SX6NBoVAgQJ6U1MVXOaj8PK2l7WJ3RER9xtqwdhxkhw/edit?usp=sharing"",""ตราด!J221"")"),0.0)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IFERROR(__xludf.DUMMYFUNCTION("IMPORTRANGE(""https://docs.google.com/spreadsheets/d/1SX6NBoVAgQJ6U1MVXOaj8PK2l7WJ3RER9xtqwdhxkhw/edit?usp=sharing"",""ตราด!J222"")"),0.0)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IFERROR(__xludf.DUMMYFUNCTION("IMPORTRANGE(""https://docs.google.com/spreadsheets/d/1SX6NBoVAgQJ6U1MVXOaj8PK2l7WJ3RER9xtqwdhxkhw/edit?usp=sharing"",""ตราด!J223"")"),0.0)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IFERROR(__xludf.DUMMYFUNCTION("IMPORTRANGE(""https://docs.google.com/spreadsheets/d/1SX6NBoVAgQJ6U1MVXOaj8PK2l7WJ3RER9xtqwdhxkhw/edit?usp=sharing"",""ตราด!I224"")"),0.0)</f>
        <v>0</v>
      </c>
      <c r="J324" s="238">
        <f>IFERROR(__xludf.DUMMYFUNCTION("IMPORTRANGE(""https://docs.google.com/spreadsheets/d/1SX6NBoVAgQJ6U1MVXOaj8PK2l7WJ3RER9xtqwdhxkhw/edit?usp=sharing"",""ตราด!J224"")"),0.0)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IFERROR(__xludf.DUMMYFUNCTION("IMPORTRANGE(""https://docs.google.com/spreadsheets/d/1SX6NBoVAgQJ6U1MVXOaj8PK2l7WJ3RER9xtqwdhxkhw/edit?usp=sharing"",""ตราด!J225"")"),0.0)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IFERROR(__xludf.DUMMYFUNCTION("IMPORTRANGE(""https://docs.google.com/spreadsheets/d/1SX6NBoVAgQJ6U1MVXOaj8PK2l7WJ3RER9xtqwdhxkhw/edit?usp=sharing"",""ตราด!J226"")"),0.0)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IFERROR(__xludf.DUMMYFUNCTION("IMPORTRANGE(""https://docs.google.com/spreadsheets/d/1SX6NBoVAgQJ6U1MVXOaj8PK2l7WJ3RER9xtqwdhxkhw/edit?usp=sharing"",""ตราด!I228"")"),170.0)</f>
        <v>170</v>
      </c>
      <c r="J328" s="372">
        <f>IFERROR(__xludf.DUMMYFUNCTION("IMPORTRANGE(""https://docs.google.com/spreadsheets/d/1SX6NBoVAgQJ6U1MVXOaj8PK2l7WJ3RER9xtqwdhxkhw/edit?usp=sharing"",""ตราด!J228"")"),26.0)</f>
        <v>26</v>
      </c>
      <c r="K328" s="350">
        <f>IF(I328&gt;0,J328*100/I328,0)</f>
        <v>15.29411765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816030</v>
      </c>
      <c r="M329" s="183">
        <f t="shared" si="99"/>
        <v>433820</v>
      </c>
      <c r="N329" s="183">
        <f t="shared" si="99"/>
        <v>221683</v>
      </c>
      <c r="O329" s="182">
        <f t="shared" ref="O329:O331" si="101">IF(L329&gt;0,N329*100/L329,0)</f>
        <v>27.16603556</v>
      </c>
      <c r="P329" s="182">
        <f t="shared" ref="P329:P331" si="102">IF(M329&gt;0,N329*100/M329,0)</f>
        <v>51.1002259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816030</v>
      </c>
      <c r="M331" s="188">
        <f t="shared" si="103"/>
        <v>433820</v>
      </c>
      <c r="N331" s="188">
        <f t="shared" si="103"/>
        <v>221683</v>
      </c>
      <c r="O331" s="187">
        <f t="shared" si="101"/>
        <v>27.16603556</v>
      </c>
      <c r="P331" s="187">
        <f t="shared" si="102"/>
        <v>51.1002259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816030</v>
      </c>
      <c r="M333" s="200">
        <f>IFERROR(__xludf.DUMMYFUNCTION("IMPORTRANGE(""https://docs.google.com/spreadsheets/d/1Yj_ptqi66GCucihVvJfMjLAmec39IyEx_6qawtMGysU/edit?usp=sharing"",""สบก!DL64"")"),433820.0)</f>
        <v>433820</v>
      </c>
      <c r="N333" s="203">
        <f>IFERROR(__xludf.DUMMYFUNCTION("IMPORTRANGE(""https://docs.google.com/spreadsheets/d/1Yj_ptqi66GCucihVvJfMjLAmec39IyEx_6qawtMGysU/edit?usp=sharing"",""สบก!DM64"")"),221683.0)</f>
        <v>221683</v>
      </c>
      <c r="O333" s="203">
        <f>IF(L333&gt;0,N333*100/L333,0)</f>
        <v>27.16603556</v>
      </c>
      <c r="P333" s="203">
        <f>IF(M333&gt;0,N333*100/M333,0)</f>
        <v>51.1002259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IFERROR(__xludf.DUMMYFUNCTION("IMPORTRANGE(""https://docs.google.com/spreadsheets/d/1Yj_ptqi66GCucihVvJfMjLAmec39IyEx_6qawtMGysU/edit?usp=sharing"",""สบก!DH64"")"),493800.0)</f>
        <v>493800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IFERROR(__xludf.DUMMYFUNCTION("IMPORTRANGE(""https://docs.google.com/spreadsheets/d/1Yj_ptqi66GCucihVvJfMjLAmec39IyEx_6qawtMGysU/edit?usp=sharing"",""สบก!DI64"")"),322230.0)</f>
        <v>322230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IFERROR(__xludf.DUMMYFUNCTION("IMPORTRANGE(""https://docs.google.com/spreadsheets/d/1Yj_ptqi66GCucihVvJfMjLAmec39IyEx_6qawtMGysU/edit?usp=sharing"",""สบก!DJ64"")"),0.0)</f>
        <v>0</v>
      </c>
      <c r="M337" s="70"/>
      <c r="N337" s="70">
        <f>IFERROR(__xludf.DUMMYFUNCTION("IMPORTRANGE(""https://docs.google.com/spreadsheets/d/1Yj_ptqi66GCucihVvJfMjLAmec39IyEx_6qawtMGysU/edit?usp=sharing"",""สบก!DN64"")"),0.0)</f>
        <v>0</v>
      </c>
      <c r="O337" s="70">
        <f>IF(L337&gt;0,N337*100/L337,0)</f>
        <v>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IFERROR(__xludf.DUMMYFUNCTION("IMPORTRANGE(""https://docs.google.com/spreadsheets/d/1SX6NBoVAgQJ6U1MVXOaj8PK2l7WJ3RER9xtqwdhxkhw/edit?usp=sharing"",""ตราด!I234"")"),0.0)</f>
        <v>0</v>
      </c>
      <c r="J339" s="222">
        <f>IFERROR(__xludf.DUMMYFUNCTION("IMPORTRANGE(""https://docs.google.com/spreadsheets/d/1SX6NBoVAgQJ6U1MVXOaj8PK2l7WJ3RER9xtqwdhxkhw/edit?usp=sharing"",""ตราด!J234"")"),4.0)</f>
        <v>4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IFERROR(__xludf.DUMMYFUNCTION("IMPORTRANGE(""https://docs.google.com/spreadsheets/d/1SX6NBoVAgQJ6U1MVXOaj8PK2l7WJ3RER9xtqwdhxkhw/edit?usp=sharing"",""ตราด!I235"")"),1600.0)</f>
        <v>1600</v>
      </c>
      <c r="J340" s="222">
        <f>IFERROR(__xludf.DUMMYFUNCTION("IMPORTRANGE(""https://docs.google.com/spreadsheets/d/1SX6NBoVAgQJ6U1MVXOaj8PK2l7WJ3RER9xtqwdhxkhw/edit?usp=sharing"",""ตราด!J235"")"),68.73)</f>
        <v>68.73</v>
      </c>
      <c r="K340" s="375">
        <f t="shared" si="104"/>
        <v>4.295625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IFERROR(__xludf.DUMMYFUNCTION("IMPORTRANGE(""https://docs.google.com/spreadsheets/d/1SX6NBoVAgQJ6U1MVXOaj8PK2l7WJ3RER9xtqwdhxkhw/edit?usp=sharing"",""ตราด!I236"")"),170.0)</f>
        <v>170</v>
      </c>
      <c r="J341" s="222">
        <f>IFERROR(__xludf.DUMMYFUNCTION("IMPORTRANGE(""https://docs.google.com/spreadsheets/d/1SX6NBoVAgQJ6U1MVXOaj8PK2l7WJ3RER9xtqwdhxkhw/edit?usp=sharing"",""ตราด!J236"")"),26.0)</f>
        <v>26</v>
      </c>
      <c r="K341" s="375">
        <f t="shared" si="104"/>
        <v>15.29411765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IFERROR(__xludf.DUMMYFUNCTION("IMPORTRANGE(""https://docs.google.com/spreadsheets/d/1SX6NBoVAgQJ6U1MVXOaj8PK2l7WJ3RER9xtqwdhxkhw/edit?usp=sharing"",""ตราด!I237"")"),0.0)</f>
        <v>0</v>
      </c>
      <c r="J342" s="222">
        <f>IFERROR(__xludf.DUMMYFUNCTION("IMPORTRANGE(""https://docs.google.com/spreadsheets/d/1SX6NBoVAgQJ6U1MVXOaj8PK2l7WJ3RER9xtqwdhxkhw/edit?usp=sharing"",""ตราด!J237"")"),515.47)</f>
        <v>515.47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IFERROR(__xludf.DUMMYFUNCTION("IMPORTRANGE(""https://docs.google.com/spreadsheets/d/1SX6NBoVAgQJ6U1MVXOaj8PK2l7WJ3RER9xtqwdhxkhw/edit?usp=sharing"",""ตราด!I238"")"),170.0)</f>
        <v>170</v>
      </c>
      <c r="J343" s="222">
        <f>IFERROR(__xludf.DUMMYFUNCTION("IMPORTRANGE(""https://docs.google.com/spreadsheets/d/1SX6NBoVAgQJ6U1MVXOaj8PK2l7WJ3RER9xtqwdhxkhw/edit?usp=sharing"",""ตราด!J238"")"),0.0)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IFERROR(__xludf.DUMMYFUNCTION("IMPORTRANGE(""https://docs.google.com/spreadsheets/d/1SX6NBoVAgQJ6U1MVXOaj8PK2l7WJ3RER9xtqwdhxkhw/edit?usp=sharing"",""ตราด!I239"")"),0.0)</f>
        <v>0</v>
      </c>
      <c r="J344" s="222">
        <f>IFERROR(__xludf.DUMMYFUNCTION("IMPORTRANGE(""https://docs.google.com/spreadsheets/d/1SX6NBoVAgQJ6U1MVXOaj8PK2l7WJ3RER9xtqwdhxkhw/edit?usp=sharing"",""ตราด!J239"")"),0.0)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IFERROR(__xludf.DUMMYFUNCTION("IMPORTRANGE(""https://docs.google.com/spreadsheets/d/1SX6NBoVAgQJ6U1MVXOaj8PK2l7WJ3RER9xtqwdhxkhw/edit?usp=sharing"",""ตราด!I240"")"),170.0)</f>
        <v>170</v>
      </c>
      <c r="J345" s="222">
        <f>IFERROR(__xludf.DUMMYFUNCTION("IMPORTRANGE(""https://docs.google.com/spreadsheets/d/1SX6NBoVAgQJ6U1MVXOaj8PK2l7WJ3RER9xtqwdhxkhw/edit?usp=sharing"",""ตราด!J240"")"),26.0)</f>
        <v>26</v>
      </c>
      <c r="K345" s="375">
        <f t="shared" si="104"/>
        <v>15.29411765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IFERROR(__xludf.DUMMYFUNCTION("IMPORTRANGE(""https://docs.google.com/spreadsheets/d/1SX6NBoVAgQJ6U1MVXOaj8PK2l7WJ3RER9xtqwdhxkhw/edit?usp=sharing"",""ตราด!I241"")"),0.0)</f>
        <v>0</v>
      </c>
      <c r="J346" s="222">
        <f>IFERROR(__xludf.DUMMYFUNCTION("IMPORTRANGE(""https://docs.google.com/spreadsheets/d/1SX6NBoVAgQJ6U1MVXOaj8PK2l7WJ3RER9xtqwdhxkhw/edit?usp=sharing"",""ตราด!J241"")"),515.47)</f>
        <v>515.47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IFERROR(__xludf.DUMMYFUNCTION("IMPORTRANGE(""https://docs.google.com/spreadsheets/d/1SX6NBoVAgQJ6U1MVXOaj8PK2l7WJ3RER9xtqwdhxkhw/edit?usp=sharing"",""ตราด!L242"")"),623342.0)</f>
        <v>623342</v>
      </c>
      <c r="M347" s="391"/>
      <c r="N347" s="391">
        <f>IFERROR(__xludf.DUMMYFUNCTION("IMPORTRANGE(""https://docs.google.com/spreadsheets/d/1SX6NBoVAgQJ6U1MVXOaj8PK2l7WJ3RER9xtqwdhxkhw/edit?usp=sharing"",""ตราด!M242"")"),181003.0)</f>
        <v>181003</v>
      </c>
      <c r="O347" s="391">
        <f>+IF(L347&gt;0,N347*100/L347,0)</f>
        <v>29.03751071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IFERROR(__xludf.DUMMYFUNCTION("IMPORTRANGE(""https://docs.google.com/spreadsheets/d/1SX6NBoVAgQJ6U1MVXOaj8PK2l7WJ3RER9xtqwdhxkhw/edit?usp=sharing"",""ตราด!I244"")"),0.0)</f>
        <v>0</v>
      </c>
      <c r="J349" s="404">
        <f>IFERROR(__xludf.DUMMYFUNCTION("IMPORTRANGE(""https://docs.google.com/spreadsheets/d/1SX6NBoVAgQJ6U1MVXOaj8PK2l7WJ3RER9xtqwdhxkhw/edit?usp=sharing"",""ตราด!J244"")"),0.0)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IFERROR(__xludf.DUMMYFUNCTION("IMPORTRANGE(""https://docs.google.com/spreadsheets/d/1SX6NBoVAgQJ6U1MVXOaj8PK2l7WJ3RER9xtqwdhxkhw/edit?usp=sharing"",""ตราด!L244"")"),0.0)</f>
        <v>0</v>
      </c>
      <c r="M349" s="406"/>
      <c r="N349" s="406">
        <f>IFERROR(__xludf.DUMMYFUNCTION("IMPORTRANGE(""https://docs.google.com/spreadsheets/d/1SX6NBoVAgQJ6U1MVXOaj8PK2l7WJ3RER9xtqwdhxkhw/edit?usp=sharing"",""ตราด!M244"")"),0.0)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IFERROR(__xludf.DUMMYFUNCTION("IMPORTRANGE(""https://docs.google.com/spreadsheets/d/1SX6NBoVAgQJ6U1MVXOaj8PK2l7WJ3RER9xtqwdhxkhw/edit?usp=sharing"",""ตราด!I245"")"),0.0)</f>
        <v>0</v>
      </c>
      <c r="J350" s="404">
        <f>IFERROR(__xludf.DUMMYFUNCTION("IMPORTRANGE(""https://docs.google.com/spreadsheets/d/1SX6NBoVAgQJ6U1MVXOaj8PK2l7WJ3RER9xtqwdhxkhw/edit?usp=sharing"",""ตราด!J245"")"),0.0)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IFERROR(__xludf.DUMMYFUNCTION("IMPORTRANGE(""https://docs.google.com/spreadsheets/d/1SX6NBoVAgQJ6U1MVXOaj8PK2l7WJ3RER9xtqwdhxkhw/edit?usp=sharing"",""ตราด!L246"")"),0.0)</f>
        <v>0</v>
      </c>
      <c r="M351" s="197"/>
      <c r="N351" s="197">
        <f>IFERROR(__xludf.DUMMYFUNCTION("IMPORTRANGE(""https://docs.google.com/spreadsheets/d/1SX6NBoVAgQJ6U1MVXOaj8PK2l7WJ3RER9xtqwdhxkhw/edit?usp=sharing"",""ตราด!M246"")"),0.0)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IFERROR(__xludf.DUMMYFUNCTION("IMPORTRANGE(""https://docs.google.com/spreadsheets/d/1SX6NBoVAgQJ6U1MVXOaj8PK2l7WJ3RER9xtqwdhxkhw/edit?usp=sharing"",""ตราด!L247"")"),0.0)</f>
        <v>0</v>
      </c>
      <c r="M352" s="198"/>
      <c r="N352" s="197">
        <f>IFERROR(__xludf.DUMMYFUNCTION("IMPORTRANGE(""https://docs.google.com/spreadsheets/d/1SX6NBoVAgQJ6U1MVXOaj8PK2l7WJ3RER9xtqwdhxkhw/edit?usp=sharing"",""ตราด!M247"")"),0.0)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IFERROR(__xludf.DUMMYFUNCTION("IMPORTRANGE(""https://docs.google.com/spreadsheets/d/1SX6NBoVAgQJ6U1MVXOaj8PK2l7WJ3RER9xtqwdhxkhw/edit?usp=sharing"",""ตราด!L248"")"),0.0)</f>
        <v>0</v>
      </c>
      <c r="M353" s="203"/>
      <c r="N353" s="203">
        <f>IFERROR(__xludf.DUMMYFUNCTION("IMPORTRANGE(""https://docs.google.com/spreadsheets/d/1SX6NBoVAgQJ6U1MVXOaj8PK2l7WJ3RER9xtqwdhxkhw/edit?usp=sharing"",""ตราด!M248"")"),0.0)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IFERROR(__xludf.DUMMYFUNCTION("IMPORTRANGE(""https://docs.google.com/spreadsheets/d/1SX6NBoVAgQJ6U1MVXOaj8PK2l7WJ3RER9xtqwdhxkhw/edit?usp=sharing"",""ตราด!L249"")"),0.0)</f>
        <v>0</v>
      </c>
      <c r="M354" s="203"/>
      <c r="N354" s="200">
        <f>IFERROR(__xludf.DUMMYFUNCTION("IMPORTRANGE(""https://docs.google.com/spreadsheets/d/1SX6NBoVAgQJ6U1MVXOaj8PK2l7WJ3RER9xtqwdhxkhw/edit?usp=sharing"",""ตราด!M249"")"),0.0)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IFERROR(__xludf.DUMMYFUNCTION("IMPORTRANGE(""https://docs.google.com/spreadsheets/d/1SX6NBoVAgQJ6U1MVXOaj8PK2l7WJ3RER9xtqwdhxkhw/edit?usp=sharing"",""ตราด!M250"")"),0.0)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IFERROR(__xludf.DUMMYFUNCTION("IMPORTRANGE(""https://docs.google.com/spreadsheets/d/1SX6NBoVAgQJ6U1MVXOaj8PK2l7WJ3RER9xtqwdhxkhw/edit?usp=sharing"",""ตราด!M251"")"),0.0)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IFERROR(__xludf.DUMMYFUNCTION("IMPORTRANGE(""https://docs.google.com/spreadsheets/d/1SX6NBoVAgQJ6U1MVXOaj8PK2l7WJ3RER9xtqwdhxkhw/edit?usp=sharing"",""ตราด!M252"")"),0.0)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IFERROR(__xludf.DUMMYFUNCTION("IMPORTRANGE(""https://docs.google.com/spreadsheets/d/1SX6NBoVAgQJ6U1MVXOaj8PK2l7WJ3RER9xtqwdhxkhw/edit?usp=sharing"",""ตราด!M253"")"),0.0)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IFERROR(__xludf.DUMMYFUNCTION("IMPORTRANGE(""https://docs.google.com/spreadsheets/d/1SX6NBoVAgQJ6U1MVXOaj8PK2l7WJ3RER9xtqwdhxkhw/edit?usp=sharing"",""ตราด!J255"")"),0.0)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IFERROR(__xludf.DUMMYFUNCTION("IMPORTRANGE(""https://docs.google.com/spreadsheets/d/1SX6NBoVAgQJ6U1MVXOaj8PK2l7WJ3RER9xtqwdhxkhw/edit?usp=sharing"",""ตราด!J256"")"),0.0)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IFERROR(__xludf.DUMMYFUNCTION("IMPORTRANGE(""https://docs.google.com/spreadsheets/d/1SX6NBoVAgQJ6U1MVXOaj8PK2l7WJ3RER9xtqwdhxkhw/edit?usp=sharing"",""ตราด!J257"")"),0.0)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IFERROR(__xludf.DUMMYFUNCTION("IMPORTRANGE(""https://docs.google.com/spreadsheets/d/1SX6NBoVAgQJ6U1MVXOaj8PK2l7WJ3RER9xtqwdhxkhw/edit?usp=sharing"",""ตราด!J258"")"),0.0)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IFERROR(__xludf.DUMMYFUNCTION("IMPORTRANGE(""https://docs.google.com/spreadsheets/d/1SX6NBoVAgQJ6U1MVXOaj8PK2l7WJ3RER9xtqwdhxkhw/edit?usp=sharing"",""ตราด!J166"")"),0.0)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IFERROR(__xludf.DUMMYFUNCTION("IMPORTRANGE(""https://docs.google.com/spreadsheets/d/1SX6NBoVAgQJ6U1MVXOaj8PK2l7WJ3RER9xtqwdhxkhw/edit?usp=sharing"",""ตราด!J166"")"),0.0)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IFERROR(__xludf.DUMMYFUNCTION("IMPORTRANGE(""https://docs.google.com/spreadsheets/d/1SX6NBoVAgQJ6U1MVXOaj8PK2l7WJ3RER9xtqwdhxkhw/edit?usp=sharing"",""ตราด!J166"")"),0.0)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IFERROR(__xludf.DUMMYFUNCTION("IMPORTRANGE(""https://docs.google.com/spreadsheets/d/1SX6NBoVAgQJ6U1MVXOaj8PK2l7WJ3RER9xtqwdhxkhw/edit?usp=sharing"",""ตราด!J166"")"),0.0)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IFERROR(__xludf.DUMMYFUNCTION("IMPORTRANGE(""https://docs.google.com/spreadsheets/d/1SX6NBoVAgQJ6U1MVXOaj8PK2l7WJ3RER9xtqwdhxkhw/edit?usp=sharing"",""ตราด!I263"")"),0.0)</f>
        <v>0</v>
      </c>
      <c r="J368" s="222">
        <f>IFERROR(__xludf.DUMMYFUNCTION("IMPORTRANGE(""https://docs.google.com/spreadsheets/d/1SX6NBoVAgQJ6U1MVXOaj8PK2l7WJ3RER9xtqwdhxkhw/edit?usp=sharing"",""ตราด!J263"")"),0.0)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IFERROR(__xludf.DUMMYFUNCTION("IMPORTRANGE(""https://docs.google.com/spreadsheets/d/1SX6NBoVAgQJ6U1MVXOaj8PK2l7WJ3RER9xtqwdhxkhw/edit?usp=sharing"",""ตราด!I164"")"),0.0)</f>
        <v>0</v>
      </c>
      <c r="J369" s="238">
        <f>IFERROR(__xludf.DUMMYFUNCTION("IMPORTRANGE(""https://docs.google.com/spreadsheets/d/1SX6NBoVAgQJ6U1MVXOaj8PK2l7WJ3RER9xtqwdhxkhw/edit?usp=sharing"",""ตราด!J164"")"),0.0)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IFERROR(__xludf.DUMMYFUNCTION("IMPORTRANGE(""https://docs.google.com/spreadsheets/d/1SX6NBoVAgQJ6U1MVXOaj8PK2l7WJ3RER9xtqwdhxkhw/edit?usp=sharing"",""ตราด!I265"")"),0.0)</f>
        <v>0</v>
      </c>
      <c r="J370" s="238">
        <f>IFERROR(__xludf.DUMMYFUNCTION("IMPORTRANGE(""https://docs.google.com/spreadsheets/d/1SX6NBoVAgQJ6U1MVXOaj8PK2l7WJ3RER9xtqwdhxkhw/edit?usp=sharing"",""ตราด!J265"")"),0.0)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IFERROR(__xludf.DUMMYFUNCTION("IMPORTRANGE(""https://docs.google.com/spreadsheets/d/1SX6NBoVAgQJ6U1MVXOaj8PK2l7WJ3RER9xtqwdhxkhw/edit?usp=sharing"",""ตราด!I164"")"),0.0)</f>
        <v>0</v>
      </c>
      <c r="J371" s="223">
        <f>IFERROR(__xludf.DUMMYFUNCTION("IMPORTRANGE(""https://docs.google.com/spreadsheets/d/1SX6NBoVAgQJ6U1MVXOaj8PK2l7WJ3RER9xtqwdhxkhw/edit?usp=sharing"",""ตราด!J164"")"),0.0)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IFERROR(__xludf.DUMMYFUNCTION("IMPORTRANGE(""https://docs.google.com/spreadsheets/d/1SX6NBoVAgQJ6U1MVXOaj8PK2l7WJ3RER9xtqwdhxkhw/edit?usp=sharing"",""ตราด!I267"")"),0.0)</f>
        <v>0</v>
      </c>
      <c r="J372" s="223">
        <f>IFERROR(__xludf.DUMMYFUNCTION("IMPORTRANGE(""https://docs.google.com/spreadsheets/d/1SX6NBoVAgQJ6U1MVXOaj8PK2l7WJ3RER9xtqwdhxkhw/edit?usp=sharing"",""ตราด!J267"")"),0.0)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IFERROR(__xludf.DUMMYFUNCTION("IMPORTRANGE(""https://docs.google.com/spreadsheets/d/1SX6NBoVAgQJ6U1MVXOaj8PK2l7WJ3RER9xtqwdhxkhw/edit?usp=sharing"",""ตราด!I164"")"),0.0)</f>
        <v>0</v>
      </c>
      <c r="J373" s="238">
        <f>IFERROR(__xludf.DUMMYFUNCTION("IMPORTRANGE(""https://docs.google.com/spreadsheets/d/1SX6NBoVAgQJ6U1MVXOaj8PK2l7WJ3RER9xtqwdhxkhw/edit?usp=sharing"",""ตราด!J164"")"),0.0)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IFERROR(__xludf.DUMMYFUNCTION("IMPORTRANGE(""https://docs.google.com/spreadsheets/d/1SX6NBoVAgQJ6U1MVXOaj8PK2l7WJ3RER9xtqwdhxkhw/edit?usp=sharing"",""ตราด!I164"")"),0.0)</f>
        <v>0</v>
      </c>
      <c r="J374" s="222">
        <f>IFERROR(__xludf.DUMMYFUNCTION("IMPORTRANGE(""https://docs.google.com/spreadsheets/d/1SX6NBoVAgQJ6U1MVXOaj8PK2l7WJ3RER9xtqwdhxkhw/edit?usp=sharing"",""ตราด!J164"")"),0.0)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IFERROR(__xludf.DUMMYFUNCTION("IMPORTRANGE(""https://docs.google.com/spreadsheets/d/1SX6NBoVAgQJ6U1MVXOaj8PK2l7WJ3RER9xtqwdhxkhw/edit?usp=sharing"",""ตราด!I270"")"),0.0)</f>
        <v>0</v>
      </c>
      <c r="J375" s="222">
        <f>IFERROR(__xludf.DUMMYFUNCTION("IMPORTRANGE(""https://docs.google.com/spreadsheets/d/1SX6NBoVAgQJ6U1MVXOaj8PK2l7WJ3RER9xtqwdhxkhw/edit?usp=sharing"",""ตราด!J270"")"),0.0)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IFERROR(__xludf.DUMMYFUNCTION("IMPORTRANGE(""https://docs.google.com/spreadsheets/d/1SX6NBoVAgQJ6U1MVXOaj8PK2l7WJ3RER9xtqwdhxkhw/edit?usp=sharing"",""ตราด!I271"")"),0.0)</f>
        <v>0</v>
      </c>
      <c r="J376" s="223">
        <f>IFERROR(__xludf.DUMMYFUNCTION("IMPORTRANGE(""https://docs.google.com/spreadsheets/d/1SX6NBoVAgQJ6U1MVXOaj8PK2l7WJ3RER9xtqwdhxkhw/edit?usp=sharing"",""ตราด!J271"")"),0.0)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IFERROR(__xludf.DUMMYFUNCTION("IMPORTRANGE(""https://docs.google.com/spreadsheets/d/1SX6NBoVAgQJ6U1MVXOaj8PK2l7WJ3RER9xtqwdhxkhw/edit?usp=sharing"",""ตราด!I272"")"),0.0)</f>
        <v>0</v>
      </c>
      <c r="J377" s="238">
        <f>IFERROR(__xludf.DUMMYFUNCTION("IMPORTRANGE(""https://docs.google.com/spreadsheets/d/1SX6NBoVAgQJ6U1MVXOaj8PK2l7WJ3RER9xtqwdhxkhw/edit?usp=sharing"",""ตราด!J272"")"),0.0)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IFERROR(__xludf.DUMMYFUNCTION("IMPORTRANGE(""https://docs.google.com/spreadsheets/d/1SX6NBoVAgQJ6U1MVXOaj8PK2l7WJ3RER9xtqwdhxkhw/edit?usp=sharing"",""ตราด!J273"")"),0.0)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IFERROR(__xludf.DUMMYFUNCTION("IMPORTRANGE(""https://docs.google.com/spreadsheets/d/1SX6NBoVAgQJ6U1MVXOaj8PK2l7WJ3RER9xtqwdhxkhw/edit?usp=sharing"",""ตราด!J274"")"),0.0)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IFERROR(__xludf.DUMMYFUNCTION("IMPORTRANGE(""https://docs.google.com/spreadsheets/d/1SX6NBoVAgQJ6U1MVXOaj8PK2l7WJ3RER9xtqwdhxkhw/edit?usp=sharing"",""ตราด!I275"")"),200.0)</f>
        <v>200</v>
      </c>
      <c r="J380" s="404">
        <f>IFERROR(__xludf.DUMMYFUNCTION("IMPORTRANGE(""https://docs.google.com/spreadsheets/d/1SX6NBoVAgQJ6U1MVXOaj8PK2l7WJ3RER9xtqwdhxkhw/edit?usp=sharing"",""ตราด!J275"")"),0.0)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IFERROR(__xludf.DUMMYFUNCTION("IMPORTRANGE(""https://docs.google.com/spreadsheets/d/1SX6NBoVAgQJ6U1MVXOaj8PK2l7WJ3RER9xtqwdhxkhw/edit?usp=sharing"",""ตราด!L275"")"),207560.0)</f>
        <v>207560</v>
      </c>
      <c r="M380" s="406"/>
      <c r="N380" s="406">
        <f>IFERROR(__xludf.DUMMYFUNCTION("IMPORTRANGE(""https://docs.google.com/spreadsheets/d/1SX6NBoVAgQJ6U1MVXOaj8PK2l7WJ3RER9xtqwdhxkhw/edit?usp=sharing"",""ตราด!M275"")"),65529.0)</f>
        <v>65529</v>
      </c>
      <c r="O380" s="406">
        <f>+IF(L380&gt;0,N380*100/L380,0)</f>
        <v>31.57111197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IFERROR(__xludf.DUMMYFUNCTION("IMPORTRANGE(""https://docs.google.com/spreadsheets/d/1SX6NBoVAgQJ6U1MVXOaj8PK2l7WJ3RER9xtqwdhxkhw/edit?usp=sharing"",""ตราด!I276"")"),20.0)</f>
        <v>20</v>
      </c>
      <c r="J381" s="404">
        <f>IFERROR(__xludf.DUMMYFUNCTION("IMPORTRANGE(""https://docs.google.com/spreadsheets/d/1SX6NBoVAgQJ6U1MVXOaj8PK2l7WJ3RER9xtqwdhxkhw/edit?usp=sharing"",""ตราด!J276"")"),20.0)</f>
        <v>20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IFERROR(__xludf.DUMMYFUNCTION("IMPORTRANGE(""https://docs.google.com/spreadsheets/d/1SX6NBoVAgQJ6U1MVXOaj8PK2l7WJ3RER9xtqwdhxkhw/edit?usp=sharing"",""ตราด!L277"")"),0.0)</f>
        <v>0</v>
      </c>
      <c r="M382" s="197"/>
      <c r="N382" s="197">
        <f>IFERROR(__xludf.DUMMYFUNCTION("IMPORTRANGE(""https://docs.google.com/spreadsheets/d/1SX6NBoVAgQJ6U1MVXOaj8PK2l7WJ3RER9xtqwdhxkhw/edit?usp=sharing"",""ตราด!M277"")"),0.0)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IFERROR(__xludf.DUMMYFUNCTION("IMPORTRANGE(""https://docs.google.com/spreadsheets/d/1SX6NBoVAgQJ6U1MVXOaj8PK2l7WJ3RER9xtqwdhxkhw/edit?usp=sharing"",""ตราด!L278"")"),207560.0)</f>
        <v>207560</v>
      </c>
      <c r="M383" s="198"/>
      <c r="N383" s="198">
        <f>IFERROR(__xludf.DUMMYFUNCTION("IMPORTRANGE(""https://docs.google.com/spreadsheets/d/1SX6NBoVAgQJ6U1MVXOaj8PK2l7WJ3RER9xtqwdhxkhw/edit?usp=sharing"",""ตราด!M278"")"),65529.0)</f>
        <v>65529</v>
      </c>
      <c r="O383" s="198">
        <f t="shared" si="110"/>
        <v>31.57111197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IFERROR(__xludf.DUMMYFUNCTION("IMPORTRANGE(""https://docs.google.com/spreadsheets/d/1SX6NBoVAgQJ6U1MVXOaj8PK2l7WJ3RER9xtqwdhxkhw/edit?usp=sharing"",""ตราด!L279"")"),0.0)</f>
        <v>0</v>
      </c>
      <c r="M384" s="203"/>
      <c r="N384" s="203">
        <f>IFERROR(__xludf.DUMMYFUNCTION("IMPORTRANGE(""https://docs.google.com/spreadsheets/d/1SX6NBoVAgQJ6U1MVXOaj8PK2l7WJ3RER9xtqwdhxkhw/edit?usp=sharing"",""ตราด!M279"")"),0.0)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IFERROR(__xludf.DUMMYFUNCTION("IMPORTRANGE(""https://docs.google.com/spreadsheets/d/1SX6NBoVAgQJ6U1MVXOaj8PK2l7WJ3RER9xtqwdhxkhw/edit?usp=sharing"",""ตราด!L280"")"),207560.0)</f>
        <v>207560</v>
      </c>
      <c r="M385" s="203"/>
      <c r="N385" s="200">
        <f>IFERROR(__xludf.DUMMYFUNCTION("IMPORTRANGE(""https://docs.google.com/spreadsheets/d/1SX6NBoVAgQJ6U1MVXOaj8PK2l7WJ3RER9xtqwdhxkhw/edit?usp=sharing"",""ตราด!M280"")"),65529.0)</f>
        <v>65529</v>
      </c>
      <c r="O385" s="203">
        <f t="shared" si="110"/>
        <v>31.57111197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IFERROR(__xludf.DUMMYFUNCTION("IMPORTRANGE(""https://docs.google.com/spreadsheets/d/1SX6NBoVAgQJ6U1MVXOaj8PK2l7WJ3RER9xtqwdhxkhw/edit?usp=sharing"",""ตราด!M281"")"),58800.0)</f>
        <v>58800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IFERROR(__xludf.DUMMYFUNCTION("IMPORTRANGE(""https://docs.google.com/spreadsheets/d/1SX6NBoVAgQJ6U1MVXOaj8PK2l7WJ3RER9xtqwdhxkhw/edit?usp=sharing"",""ตราด!M282"")"),0.0)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IFERROR(__xludf.DUMMYFUNCTION("IMPORTRANGE(""https://docs.google.com/spreadsheets/d/1SX6NBoVAgQJ6U1MVXOaj8PK2l7WJ3RER9xtqwdhxkhw/edit?usp=sharing"",""ตราด!M283"")"),0.0)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IFERROR(__xludf.DUMMYFUNCTION("IMPORTRANGE(""https://docs.google.com/spreadsheets/d/1SX6NBoVAgQJ6U1MVXOaj8PK2l7WJ3RER9xtqwdhxkhw/edit?usp=sharing"",""ตราด!M284"")"),6729.0)</f>
        <v>6729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IFERROR(__xludf.DUMMYFUNCTION("IMPORTRANGE(""https://docs.google.com/spreadsheets/d/1SX6NBoVAgQJ6U1MVXOaj8PK2l7WJ3RER9xtqwdhxkhw/edit?usp=sharing"",""ตราด!J286"")"),0.0)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IFERROR(__xludf.DUMMYFUNCTION("IMPORTRANGE(""https://docs.google.com/spreadsheets/d/1SX6NBoVAgQJ6U1MVXOaj8PK2l7WJ3RER9xtqwdhxkhw/edit?usp=sharing"",""ตราด!J287"")"),1.0)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IFERROR(__xludf.DUMMYFUNCTION("IMPORTRANGE(""https://docs.google.com/spreadsheets/d/1SX6NBoVAgQJ6U1MVXOaj8PK2l7WJ3RER9xtqwdhxkhw/edit?usp=sharing"",""ตราด!J288"")"),1.0)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IFERROR(__xludf.DUMMYFUNCTION("IMPORTRANGE(""https://docs.google.com/spreadsheets/d/1SX6NBoVAgQJ6U1MVXOaj8PK2l7WJ3RER9xtqwdhxkhw/edit?usp=sharing"",""ตราด!J289"")"),1.0)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IFERROR(__xludf.DUMMYFUNCTION("IMPORTRANGE(""https://docs.google.com/spreadsheets/d/1SX6NBoVAgQJ6U1MVXOaj8PK2l7WJ3RER9xtqwdhxkhw/edit?usp=sharing"",""ตราด!I291"")"),20.0)</f>
        <v>20</v>
      </c>
      <c r="J396" s="232">
        <f>IFERROR(__xludf.DUMMYFUNCTION("IMPORTRANGE(""https://docs.google.com/spreadsheets/d/1SX6NBoVAgQJ6U1MVXOaj8PK2l7WJ3RER9xtqwdhxkhw/edit?usp=sharing"",""ตราด!J291"")"),20.0)</f>
        <v>20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IFERROR(__xludf.DUMMYFUNCTION("IMPORTRANGE(""https://docs.google.com/spreadsheets/d/1SX6NBoVAgQJ6U1MVXOaj8PK2l7WJ3RER9xtqwdhxkhw/edit?usp=sharing"",""ตราด!I292"")"),200.0)</f>
        <v>200</v>
      </c>
      <c r="J397" s="232">
        <f>IFERROR(__xludf.DUMMYFUNCTION("IMPORTRANGE(""https://docs.google.com/spreadsheets/d/1SX6NBoVAgQJ6U1MVXOaj8PK2l7WJ3RER9xtqwdhxkhw/edit?usp=sharing"",""ตราด!J292"")"),0.0)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IFERROR(__xludf.DUMMYFUNCTION("IMPORTRANGE(""https://docs.google.com/spreadsheets/d/1SX6NBoVAgQJ6U1MVXOaj8PK2l7WJ3RER9xtqwdhxkhw/edit?usp=sharing"",""ตราด!I293"")"),20.0)</f>
        <v>20</v>
      </c>
      <c r="J398" s="232">
        <f>IFERROR(__xludf.DUMMYFUNCTION("IMPORTRANGE(""https://docs.google.com/spreadsheets/d/1SX6NBoVAgQJ6U1MVXOaj8PK2l7WJ3RER9xtqwdhxkhw/edit?usp=sharing"",""ตราด!J293"")"),0.0)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IFERROR(__xludf.DUMMYFUNCTION("IMPORTRANGE(""https://docs.google.com/spreadsheets/d/1SX6NBoVAgQJ6U1MVXOaj8PK2l7WJ3RER9xtqwdhxkhw/edit?usp=sharing"",""ตราด!J294"")"),0.0)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IFERROR(__xludf.DUMMYFUNCTION("IMPORTRANGE(""https://docs.google.com/spreadsheets/d/1SX6NBoVAgQJ6U1MVXOaj8PK2l7WJ3RER9xtqwdhxkhw/edit?usp=sharing"",""ตราด!J295"")"),0.0)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IFERROR(__xludf.DUMMYFUNCTION("IMPORTRANGE(""https://docs.google.com/spreadsheets/d/1SX6NBoVAgQJ6U1MVXOaj8PK2l7WJ3RER9xtqwdhxkhw/edit?usp=sharing"",""ตราด!I296"")"),90.0)</f>
        <v>90</v>
      </c>
      <c r="J401" s="404">
        <f>IFERROR(__xludf.DUMMYFUNCTION("IMPORTRANGE(""https://docs.google.com/spreadsheets/d/1SX6NBoVAgQJ6U1MVXOaj8PK2l7WJ3RER9xtqwdhxkhw/edit?usp=sharing"",""ตราด!J296"")"),60.0)</f>
        <v>60</v>
      </c>
      <c r="K401" s="405">
        <f t="shared" ref="K401:K402" si="112">IF(I401&gt;0,J401*100/I401,0)</f>
        <v>66.66666667</v>
      </c>
      <c r="L401" s="406">
        <f>IFERROR(__xludf.DUMMYFUNCTION("IMPORTRANGE(""https://docs.google.com/spreadsheets/d/1SX6NBoVAgQJ6U1MVXOaj8PK2l7WJ3RER9xtqwdhxkhw/edit?usp=sharing"",""ตราด!L296"")"),116320.0)</f>
        <v>116320</v>
      </c>
      <c r="M401" s="406"/>
      <c r="N401" s="406">
        <f>IFERROR(__xludf.DUMMYFUNCTION("IMPORTRANGE(""https://docs.google.com/spreadsheets/d/1SX6NBoVAgQJ6U1MVXOaj8PK2l7WJ3RER9xtqwdhxkhw/edit?usp=sharing"",""ตราด!M296"")"),36675.0)</f>
        <v>36675</v>
      </c>
      <c r="O401" s="406">
        <f>+IF(L401&gt;0,N401*100/L401,0)</f>
        <v>31.52940165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IFERROR(__xludf.DUMMYFUNCTION("IMPORTRANGE(""https://docs.google.com/spreadsheets/d/1SX6NBoVAgQJ6U1MVXOaj8PK2l7WJ3RER9xtqwdhxkhw/edit?usp=sharing"",""ตราด!I297"")"),30.0)</f>
        <v>30</v>
      </c>
      <c r="J402" s="404">
        <f>IFERROR(__xludf.DUMMYFUNCTION("IMPORTRANGE(""https://docs.google.com/spreadsheets/d/1SX6NBoVAgQJ6U1MVXOaj8PK2l7WJ3RER9xtqwdhxkhw/edit?usp=sharing"",""ตราด!J297"")"),20.0)</f>
        <v>20</v>
      </c>
      <c r="K402" s="405">
        <f t="shared" si="112"/>
        <v>66.66666667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IFERROR(__xludf.DUMMYFUNCTION("IMPORTRANGE(""https://docs.google.com/spreadsheets/d/1SX6NBoVAgQJ6U1MVXOaj8PK2l7WJ3RER9xtqwdhxkhw/edit?usp=sharing"",""ตราด!L298"")"),0.0)</f>
        <v>0</v>
      </c>
      <c r="M403" s="197"/>
      <c r="N403" s="203">
        <f>IFERROR(__xludf.DUMMYFUNCTION("IMPORTRANGE(""https://docs.google.com/spreadsheets/d/1SX6NBoVAgQJ6U1MVXOaj8PK2l7WJ3RER9xtqwdhxkhw/edit?usp=sharing"",""ตราด!M298"")"),0.0)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IFERROR(__xludf.DUMMYFUNCTION("IMPORTRANGE(""https://docs.google.com/spreadsheets/d/1SX6NBoVAgQJ6U1MVXOaj8PK2l7WJ3RER9xtqwdhxkhw/edit?usp=sharing"",""ตราด!L299"")"),116320.0)</f>
        <v>116320</v>
      </c>
      <c r="M404" s="198"/>
      <c r="N404" s="203">
        <f>IFERROR(__xludf.DUMMYFUNCTION("IMPORTRANGE(""https://docs.google.com/spreadsheets/d/1SX6NBoVAgQJ6U1MVXOaj8PK2l7WJ3RER9xtqwdhxkhw/edit?usp=sharing"",""ตราด!M299"")"),36675.0)</f>
        <v>36675</v>
      </c>
      <c r="O404" s="203">
        <f t="shared" si="113"/>
        <v>31.52940165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IFERROR(__xludf.DUMMYFUNCTION("IMPORTRANGE(""https://docs.google.com/spreadsheets/d/1SX6NBoVAgQJ6U1MVXOaj8PK2l7WJ3RER9xtqwdhxkhw/edit?usp=sharing"",""ตราด!L300"")"),0.0)</f>
        <v>0</v>
      </c>
      <c r="M405" s="203"/>
      <c r="N405" s="203">
        <f>IFERROR(__xludf.DUMMYFUNCTION("IMPORTRANGE(""https://docs.google.com/spreadsheets/d/1SX6NBoVAgQJ6U1MVXOaj8PK2l7WJ3RER9xtqwdhxkhw/edit?usp=sharing"",""ตราด!M300"")"),0.0)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IFERROR(__xludf.DUMMYFUNCTION("IMPORTRANGE(""https://docs.google.com/spreadsheets/d/1SX6NBoVAgQJ6U1MVXOaj8PK2l7WJ3RER9xtqwdhxkhw/edit?usp=sharing"",""ตราด!L301"")"),116320.0)</f>
        <v>116320</v>
      </c>
      <c r="M406" s="203"/>
      <c r="N406" s="203">
        <f>IFERROR(__xludf.DUMMYFUNCTION("IMPORTRANGE(""https://docs.google.com/spreadsheets/d/1SX6NBoVAgQJ6U1MVXOaj8PK2l7WJ3RER9xtqwdhxkhw/edit?usp=sharing"",""ตราด!M301"")"),36675.0)</f>
        <v>36675</v>
      </c>
      <c r="O406" s="203">
        <f t="shared" si="113"/>
        <v>31.52940165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IFERROR(__xludf.DUMMYFUNCTION("IMPORTRANGE(""https://docs.google.com/spreadsheets/d/1SX6NBoVAgQJ6U1MVXOaj8PK2l7WJ3RER9xtqwdhxkhw/edit?usp=sharing"",""ตราด!M302"")"),36315.0)</f>
        <v>36315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IFERROR(__xludf.DUMMYFUNCTION("IMPORTRANGE(""https://docs.google.com/spreadsheets/d/1SX6NBoVAgQJ6U1MVXOaj8PK2l7WJ3RER9xtqwdhxkhw/edit?usp=sharing"",""ตราด!M303"")"),0.0)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IFERROR(__xludf.DUMMYFUNCTION("IMPORTRANGE(""https://docs.google.com/spreadsheets/d/1SX6NBoVAgQJ6U1MVXOaj8PK2l7WJ3RER9xtqwdhxkhw/edit?usp=sharing"",""ตราด!M304"")"),0.0)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IFERROR(__xludf.DUMMYFUNCTION("IMPORTRANGE(""https://docs.google.com/spreadsheets/d/1SX6NBoVAgQJ6U1MVXOaj8PK2l7WJ3RER9xtqwdhxkhw/edit?usp=sharing"",""ตราด!M305"")"),360.0)</f>
        <v>360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IFERROR(__xludf.DUMMYFUNCTION("IMPORTRANGE(""https://docs.google.com/spreadsheets/d/1SX6NBoVAgQJ6U1MVXOaj8PK2l7WJ3RER9xtqwdhxkhw/edit?usp=sharing"",""ตราด!J307"")"),0.0)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IFERROR(__xludf.DUMMYFUNCTION("IMPORTRANGE(""https://docs.google.com/spreadsheets/d/1SX6NBoVAgQJ6U1MVXOaj8PK2l7WJ3RER9xtqwdhxkhw/edit?usp=sharing"",""ตราด!J308"")"),1.0)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IFERROR(__xludf.DUMMYFUNCTION("IMPORTRANGE(""https://docs.google.com/spreadsheets/d/1SX6NBoVAgQJ6U1MVXOaj8PK2l7WJ3RER9xtqwdhxkhw/edit?usp=sharing"",""ตราด!J309"")"),1.0)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IFERROR(__xludf.DUMMYFUNCTION("IMPORTRANGE(""https://docs.google.com/spreadsheets/d/1SX6NBoVAgQJ6U1MVXOaj8PK2l7WJ3RER9xtqwdhxkhw/edit?usp=sharing"",""ตราด!J310"")"),1.0)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IFERROR(__xludf.DUMMYFUNCTION("IMPORTRANGE(""https://docs.google.com/spreadsheets/d/1SX6NBoVAgQJ6U1MVXOaj8PK2l7WJ3RER9xtqwdhxkhw/edit?usp=sharing"",""ตราด!I311"")"),30.0)</f>
        <v>30</v>
      </c>
      <c r="J416" s="235">
        <f>IFERROR(__xludf.DUMMYFUNCTION("IMPORTRANGE(""https://docs.google.com/spreadsheets/d/1SX6NBoVAgQJ6U1MVXOaj8PK2l7WJ3RER9xtqwdhxkhw/edit?usp=sharing"",""ตราด!J311"")"),20.0)</f>
        <v>20</v>
      </c>
      <c r="K416" s="236">
        <f t="shared" ref="K416:K432" si="114">IF(I416&gt;0,J416*100/I416,0)</f>
        <v>66.66666667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IFERROR(__xludf.DUMMYFUNCTION("IMPORTRANGE(""https://docs.google.com/spreadsheets/d/1SX6NBoVAgQJ6U1MVXOaj8PK2l7WJ3RER9xtqwdhxkhw/edit?usp=sharing"",""ตราด!I312"")"),10.0)</f>
        <v>10</v>
      </c>
      <c r="J417" s="425">
        <f>IFERROR(__xludf.DUMMYFUNCTION("IMPORTRANGE(""https://docs.google.com/spreadsheets/d/1SX6NBoVAgQJ6U1MVXOaj8PK2l7WJ3RER9xtqwdhxkhw/edit?usp=sharing"",""ตราด!J312"")"),10.0)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IFERROR(__xludf.DUMMYFUNCTION("IMPORTRANGE(""https://docs.google.com/spreadsheets/d/1SX6NBoVAgQJ6U1MVXOaj8PK2l7WJ3RER9xtqwdhxkhw/edit?usp=sharing"",""ตราด!I313"")"),30.0)</f>
        <v>30</v>
      </c>
      <c r="J418" s="426">
        <f>IFERROR(__xludf.DUMMYFUNCTION("IMPORTRANGE(""https://docs.google.com/spreadsheets/d/1SX6NBoVAgQJ6U1MVXOaj8PK2l7WJ3RER9xtqwdhxkhw/edit?usp=sharing"",""ตราด!J313"")"),30.0)</f>
        <v>30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IFERROR(__xludf.DUMMYFUNCTION("IMPORTRANGE(""https://docs.google.com/spreadsheets/d/1SX6NBoVAgQJ6U1MVXOaj8PK2l7WJ3RER9xtqwdhxkhw/edit?usp=sharing"",""ตราด!I314"")"),10.0)</f>
        <v>10</v>
      </c>
      <c r="J419" s="427">
        <f>IFERROR(__xludf.DUMMYFUNCTION("IMPORTRANGE(""https://docs.google.com/spreadsheets/d/1SX6NBoVAgQJ6U1MVXOaj8PK2l7WJ3RER9xtqwdhxkhw/edit?usp=sharing"",""ตราด!J314"")"),10.0)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IFERROR(__xludf.DUMMYFUNCTION("IMPORTRANGE(""https://docs.google.com/spreadsheets/d/1SX6NBoVAgQJ6U1MVXOaj8PK2l7WJ3RER9xtqwdhxkhw/edit?usp=sharing"",""ตราด!I315"")"),10.0)</f>
        <v>10</v>
      </c>
      <c r="J420" s="427">
        <f>IFERROR(__xludf.DUMMYFUNCTION("IMPORTRANGE(""https://docs.google.com/spreadsheets/d/1SX6NBoVAgQJ6U1MVXOaj8PK2l7WJ3RER9xtqwdhxkhw/edit?usp=sharing"",""ตราด!J315"")"),10.0)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IFERROR(__xludf.DUMMYFUNCTION("IMPORTRANGE(""https://docs.google.com/spreadsheets/d/1SX6NBoVAgQJ6U1MVXOaj8PK2l7WJ3RER9xtqwdhxkhw/edit?usp=sharing"",""ตราด!I316"")"),10.0)</f>
        <v>10</v>
      </c>
      <c r="J421" s="425">
        <f>IFERROR(__xludf.DUMMYFUNCTION("IMPORTRANGE(""https://docs.google.com/spreadsheets/d/1SX6NBoVAgQJ6U1MVXOaj8PK2l7WJ3RER9xtqwdhxkhw/edit?usp=sharing"",""ตราด!J316"")"),0.0)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IFERROR(__xludf.DUMMYFUNCTION("IMPORTRANGE(""https://docs.google.com/spreadsheets/d/1SX6NBoVAgQJ6U1MVXOaj8PK2l7WJ3RER9xtqwdhxkhw/edit?usp=sharing"",""ตราด!I317"")"),30.0)</f>
        <v>30</v>
      </c>
      <c r="J422" s="426">
        <f>IFERROR(__xludf.DUMMYFUNCTION("IMPORTRANGE(""https://docs.google.com/spreadsheets/d/1SX6NBoVAgQJ6U1MVXOaj8PK2l7WJ3RER9xtqwdhxkhw/edit?usp=sharing"",""ตราด!J317"")"),0.0)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IFERROR(__xludf.DUMMYFUNCTION("IMPORTRANGE(""https://docs.google.com/spreadsheets/d/1SX6NBoVAgQJ6U1MVXOaj8PK2l7WJ3RER9xtqwdhxkhw/edit?usp=sharing"",""ตราด!I318"")"),10.0)</f>
        <v>10</v>
      </c>
      <c r="J423" s="427">
        <f>IFERROR(__xludf.DUMMYFUNCTION("IMPORTRANGE(""https://docs.google.com/spreadsheets/d/1SX6NBoVAgQJ6U1MVXOaj8PK2l7WJ3RER9xtqwdhxkhw/edit?usp=sharing"",""ตราด!J318"")"),0.0)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IFERROR(__xludf.DUMMYFUNCTION("IMPORTRANGE(""https://docs.google.com/spreadsheets/d/1SX6NBoVAgQJ6U1MVXOaj8PK2l7WJ3RER9xtqwdhxkhw/edit?usp=sharing"",""ตราด!I319"")"),10.0)</f>
        <v>10</v>
      </c>
      <c r="J424" s="427">
        <f>IFERROR(__xludf.DUMMYFUNCTION("IMPORTRANGE(""https://docs.google.com/spreadsheets/d/1SX6NBoVAgQJ6U1MVXOaj8PK2l7WJ3RER9xtqwdhxkhw/edit?usp=sharing"",""ตราด!J319"")"),0.0)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IFERROR(__xludf.DUMMYFUNCTION("IMPORTRANGE(""https://docs.google.com/spreadsheets/d/1SX6NBoVAgQJ6U1MVXOaj8PK2l7WJ3RER9xtqwdhxkhw/edit?usp=sharing"",""ตราด!I320"")"),10.0)</f>
        <v>10</v>
      </c>
      <c r="J425" s="427">
        <f>IFERROR(__xludf.DUMMYFUNCTION("IMPORTRANGE(""https://docs.google.com/spreadsheets/d/1SX6NBoVAgQJ6U1MVXOaj8PK2l7WJ3RER9xtqwdhxkhw/edit?usp=sharing"",""ตราด!J320"")"),0.0)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IFERROR(__xludf.DUMMYFUNCTION("IMPORTRANGE(""https://docs.google.com/spreadsheets/d/1SX6NBoVAgQJ6U1MVXOaj8PK2l7WJ3RER9xtqwdhxkhw/edit?usp=sharing"",""ตราด!I321"")"),10.0)</f>
        <v>10</v>
      </c>
      <c r="J426" s="425">
        <f>IFERROR(__xludf.DUMMYFUNCTION("IMPORTRANGE(""https://docs.google.com/spreadsheets/d/1SX6NBoVAgQJ6U1MVXOaj8PK2l7WJ3RER9xtqwdhxkhw/edit?usp=sharing"",""ตราด!J321"")"),10.0)</f>
        <v>10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IFERROR(__xludf.DUMMYFUNCTION("IMPORTRANGE(""https://docs.google.com/spreadsheets/d/1SX6NBoVAgQJ6U1MVXOaj8PK2l7WJ3RER9xtqwdhxkhw/edit?usp=sharing"",""ตราด!I322"")"),30.0)</f>
        <v>30</v>
      </c>
      <c r="J427" s="426">
        <f>IFERROR(__xludf.DUMMYFUNCTION("IMPORTRANGE(""https://docs.google.com/spreadsheets/d/1SX6NBoVAgQJ6U1MVXOaj8PK2l7WJ3RER9xtqwdhxkhw/edit?usp=sharing"",""ตราด!J322"")"),30.0)</f>
        <v>30</v>
      </c>
      <c r="K427" s="236">
        <f t="shared" si="114"/>
        <v>100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IFERROR(__xludf.DUMMYFUNCTION("IMPORTRANGE(""https://docs.google.com/spreadsheets/d/1SX6NBoVAgQJ6U1MVXOaj8PK2l7WJ3RER9xtqwdhxkhw/edit?usp=sharing"",""ตราด!I323"")"),10.0)</f>
        <v>10</v>
      </c>
      <c r="J428" s="427">
        <f>IFERROR(__xludf.DUMMYFUNCTION("IMPORTRANGE(""https://docs.google.com/spreadsheets/d/1SX6NBoVAgQJ6U1MVXOaj8PK2l7WJ3RER9xtqwdhxkhw/edit?usp=sharing"",""ตราด!J323"")"),10.0)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IFERROR(__xludf.DUMMYFUNCTION("IMPORTRANGE(""https://docs.google.com/spreadsheets/d/1SX6NBoVAgQJ6U1MVXOaj8PK2l7WJ3RER9xtqwdhxkhw/edit?usp=sharing"",""ตราด!I324"")"),10.0)</f>
        <v>10</v>
      </c>
      <c r="J429" s="427">
        <f>IFERROR(__xludf.DUMMYFUNCTION("IMPORTRANGE(""https://docs.google.com/spreadsheets/d/1SX6NBoVAgQJ6U1MVXOaj8PK2l7WJ3RER9xtqwdhxkhw/edit?usp=sharing"",""ตราด!J324"")"),10.0)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IFERROR(__xludf.DUMMYFUNCTION("IMPORTRANGE(""https://docs.google.com/spreadsheets/d/1SX6NBoVAgQJ6U1MVXOaj8PK2l7WJ3RER9xtqwdhxkhw/edit?usp=sharing"",""ตราด!I325"")"),20.0)</f>
        <v>20</v>
      </c>
      <c r="J430" s="425">
        <f>IFERROR(__xludf.DUMMYFUNCTION("IMPORTRANGE(""https://docs.google.com/spreadsheets/d/1SX6NBoVAgQJ6U1MVXOaj8PK2l7WJ3RER9xtqwdhxkhw/edit?usp=sharing"",""ตราด!J325"")"),0.0)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IFERROR(__xludf.DUMMYFUNCTION("IMPORTRANGE(""https://docs.google.com/spreadsheets/d/1SX6NBoVAgQJ6U1MVXOaj8PK2l7WJ3RER9xtqwdhxkhw/edit?usp=sharing"",""ตราด!I326"")"),10.0)</f>
        <v>10</v>
      </c>
      <c r="J431" s="427">
        <f>IFERROR(__xludf.DUMMYFUNCTION("IMPORTRANGE(""https://docs.google.com/spreadsheets/d/1SX6NBoVAgQJ6U1MVXOaj8PK2l7WJ3RER9xtqwdhxkhw/edit?usp=sharing"",""ตราด!J326"")"),0.0)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IFERROR(__xludf.DUMMYFUNCTION("IMPORTRANGE(""https://docs.google.com/spreadsheets/d/1SX6NBoVAgQJ6U1MVXOaj8PK2l7WJ3RER9xtqwdhxkhw/edit?usp=sharing"",""ตราด!I327"")"),10.0)</f>
        <v>10</v>
      </c>
      <c r="J432" s="427">
        <f>IFERROR(__xludf.DUMMYFUNCTION("IMPORTRANGE(""https://docs.google.com/spreadsheets/d/1SX6NBoVAgQJ6U1MVXOaj8PK2l7WJ3RER9xtqwdhxkhw/edit?usp=sharing"",""ตราด!J327"")"),0.0)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IFERROR(__xludf.DUMMYFUNCTION("IMPORTRANGE(""https://docs.google.com/spreadsheets/d/1SX6NBoVAgQJ6U1MVXOaj8PK2l7WJ3RER9xtqwdhxkhw/edit?usp=sharing"",""ตราด!J328"")"),0.0)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IFERROR(__xludf.DUMMYFUNCTION("IMPORTRANGE(""https://docs.google.com/spreadsheets/d/1SX6NBoVAgQJ6U1MVXOaj8PK2l7WJ3RER9xtqwdhxkhw/edit?usp=sharing"",""ตราด!J329"")"),0.0)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IFERROR(__xludf.DUMMYFUNCTION("IMPORTRANGE(""https://docs.google.com/spreadsheets/d/1SX6NBoVAgQJ6U1MVXOaj8PK2l7WJ3RER9xtqwdhxkhw/edit?usp=sharing"",""ตราด!I330"")"),10.0)</f>
        <v>10</v>
      </c>
      <c r="J435" s="443">
        <f>IFERROR(__xludf.DUMMYFUNCTION("IMPORTRANGE(""https://docs.google.com/spreadsheets/d/1SX6NBoVAgQJ6U1MVXOaj8PK2l7WJ3RER9xtqwdhxkhw/edit?usp=sharing"",""ตราด!J330"")"),10.0)</f>
        <v>10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IFERROR(__xludf.DUMMYFUNCTION("IMPORTRANGE(""https://docs.google.com/spreadsheets/d/1SX6NBoVAgQJ6U1MVXOaj8PK2l7WJ3RER9xtqwdhxkhw/edit?usp=sharing"",""ตราด!L330"")"),72000.0)</f>
        <v>72000</v>
      </c>
      <c r="M435" s="445"/>
      <c r="N435" s="445">
        <f>IFERROR(__xludf.DUMMYFUNCTION("IMPORTRANGE(""https://docs.google.com/spreadsheets/d/1SX6NBoVAgQJ6U1MVXOaj8PK2l7WJ3RER9xtqwdhxkhw/edit?usp=sharing"",""ตราด!M330"")"),35590.0)</f>
        <v>35590</v>
      </c>
      <c r="O435" s="445">
        <f t="shared" ref="O435:O439" si="115">+IF(L435&gt;0,N435*100/L435,0)</f>
        <v>49.43055556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IFERROR(__xludf.DUMMYFUNCTION("IMPORTRANGE(""https://docs.google.com/spreadsheets/d/1SX6NBoVAgQJ6U1MVXOaj8PK2l7WJ3RER9xtqwdhxkhw/edit?usp=sharing"",""ตราด!L331"")"),0.0)</f>
        <v>0</v>
      </c>
      <c r="M436" s="197"/>
      <c r="N436" s="203">
        <f>IFERROR(__xludf.DUMMYFUNCTION("IMPORTRANGE(""https://docs.google.com/spreadsheets/d/1SX6NBoVAgQJ6U1MVXOaj8PK2l7WJ3RER9xtqwdhxkhw/edit?usp=sharing"",""ตราด!M331"")"),0.0)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IFERROR(__xludf.DUMMYFUNCTION("IMPORTRANGE(""https://docs.google.com/spreadsheets/d/1SX6NBoVAgQJ6U1MVXOaj8PK2l7WJ3RER9xtqwdhxkhw/edit?usp=sharing"",""ตราด!L332"")"),72000.0)</f>
        <v>72000</v>
      </c>
      <c r="M437" s="198"/>
      <c r="N437" s="203">
        <f>IFERROR(__xludf.DUMMYFUNCTION("IMPORTRANGE(""https://docs.google.com/spreadsheets/d/1SX6NBoVAgQJ6U1MVXOaj8PK2l7WJ3RER9xtqwdhxkhw/edit?usp=sharing"",""ตราด!M332"")"),35590.0)</f>
        <v>35590</v>
      </c>
      <c r="O437" s="203">
        <f t="shared" si="115"/>
        <v>49.43055556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IFERROR(__xludf.DUMMYFUNCTION("IMPORTRANGE(""https://docs.google.com/spreadsheets/d/1SX6NBoVAgQJ6U1MVXOaj8PK2l7WJ3RER9xtqwdhxkhw/edit?usp=sharing"",""ตราด!L333"")"),0.0)</f>
        <v>0</v>
      </c>
      <c r="M438" s="203"/>
      <c r="N438" s="203">
        <f>IFERROR(__xludf.DUMMYFUNCTION("IMPORTRANGE(""https://docs.google.com/spreadsheets/d/1SX6NBoVAgQJ6U1MVXOaj8PK2l7WJ3RER9xtqwdhxkhw/edit?usp=sharing"",""ตราด!M333"")"),0.0)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IFERROR(__xludf.DUMMYFUNCTION("IMPORTRANGE(""https://docs.google.com/spreadsheets/d/1SX6NBoVAgQJ6U1MVXOaj8PK2l7WJ3RER9xtqwdhxkhw/edit?usp=sharing"",""ตราด!L334"")"),72000.0)</f>
        <v>72000</v>
      </c>
      <c r="M439" s="203"/>
      <c r="N439" s="203">
        <f>IFERROR(__xludf.DUMMYFUNCTION("IMPORTRANGE(""https://docs.google.com/spreadsheets/d/1SX6NBoVAgQJ6U1MVXOaj8PK2l7WJ3RER9xtqwdhxkhw/edit?usp=sharing"",""ตราด!M334"")"),35590.0)</f>
        <v>35590</v>
      </c>
      <c r="O439" s="203">
        <f t="shared" si="115"/>
        <v>49.43055556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IFERROR(__xludf.DUMMYFUNCTION("IMPORTRANGE(""https://docs.google.com/spreadsheets/d/1SX6NBoVAgQJ6U1MVXOaj8PK2l7WJ3RER9xtqwdhxkhw/edit?usp=sharing"",""ตราด!M335"")"),30980.0)</f>
        <v>30980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IFERROR(__xludf.DUMMYFUNCTION("IMPORTRANGE(""https://docs.google.com/spreadsheets/d/1SX6NBoVAgQJ6U1MVXOaj8PK2l7WJ3RER9xtqwdhxkhw/edit?usp=sharing"",""ตราด!M336"")"),0.0)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IFERROR(__xludf.DUMMYFUNCTION("IMPORTRANGE(""https://docs.google.com/spreadsheets/d/1SX6NBoVAgQJ6U1MVXOaj8PK2l7WJ3RER9xtqwdhxkhw/edit?usp=sharing"",""ตราด!M337"")"),0.0)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IFERROR(__xludf.DUMMYFUNCTION("IMPORTRANGE(""https://docs.google.com/spreadsheets/d/1SX6NBoVAgQJ6U1MVXOaj8PK2l7WJ3RER9xtqwdhxkhw/edit?usp=sharing"",""ตราด!M338"")"),4610.0)</f>
        <v>4610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IFERROR(__xludf.DUMMYFUNCTION("IMPORTRANGE(""https://docs.google.com/spreadsheets/d/1SX6NBoVAgQJ6U1MVXOaj8PK2l7WJ3RER9xtqwdhxkhw/edit?usp=sharing"",""ตราด!J340"")"),0.0)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IFERROR(__xludf.DUMMYFUNCTION("IMPORTRANGE(""https://docs.google.com/spreadsheets/d/1SX6NBoVAgQJ6U1MVXOaj8PK2l7WJ3RER9xtqwdhxkhw/edit?usp=sharing"",""ตราด!J341"")"),1.0)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IFERROR(__xludf.DUMMYFUNCTION("IMPORTRANGE(""https://docs.google.com/spreadsheets/d/1SX6NBoVAgQJ6U1MVXOaj8PK2l7WJ3RER9xtqwdhxkhw/edit?usp=sharing"",""ตราด!J342"")"),1.0)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IFERROR(__xludf.DUMMYFUNCTION("IMPORTRANGE(""https://docs.google.com/spreadsheets/d/1SX6NBoVAgQJ6U1MVXOaj8PK2l7WJ3RER9xtqwdhxkhw/edit?usp=sharing"",""ตราด!J343"")"),1.0)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IFERROR(__xludf.DUMMYFUNCTION("IMPORTRANGE(""https://docs.google.com/spreadsheets/d/1SX6NBoVAgQJ6U1MVXOaj8PK2l7WJ3RER9xtqwdhxkhw/edit?usp=sharing"",""ตราด!I344"")"),10.0)</f>
        <v>10</v>
      </c>
      <c r="J449" s="235">
        <f>IFERROR(__xludf.DUMMYFUNCTION("IMPORTRANGE(""https://docs.google.com/spreadsheets/d/1SX6NBoVAgQJ6U1MVXOaj8PK2l7WJ3RER9xtqwdhxkhw/edit?usp=sharing"",""ตราด!J344"")"),10.0)</f>
        <v>10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IFERROR(__xludf.DUMMYFUNCTION("IMPORTRANGE(""https://docs.google.com/spreadsheets/d/1SX6NBoVAgQJ6U1MVXOaj8PK2l7WJ3RER9xtqwdhxkhw/edit?usp=sharing"",""ตราด!I345"")"),10.0)</f>
        <v>10</v>
      </c>
      <c r="J450" s="223">
        <f>IFERROR(__xludf.DUMMYFUNCTION("IMPORTRANGE(""https://docs.google.com/spreadsheets/d/1SX6NBoVAgQJ6U1MVXOaj8PK2l7WJ3RER9xtqwdhxkhw/edit?usp=sharing"",""ตราด!J345"")"),10.0)</f>
        <v>10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IFERROR(__xludf.DUMMYFUNCTION("IMPORTRANGE(""https://docs.google.com/spreadsheets/d/1SX6NBoVAgQJ6U1MVXOaj8PK2l7WJ3RER9xtqwdhxkhw/edit?usp=sharing"",""ตราด!I346"")"),0.0)</f>
        <v>0</v>
      </c>
      <c r="J451" s="222">
        <f>IFERROR(__xludf.DUMMYFUNCTION("IMPORTRANGE(""https://docs.google.com/spreadsheets/d/1SX6NBoVAgQJ6U1MVXOaj8PK2l7WJ3RER9xtqwdhxkhw/edit?usp=sharing"",""ตราด!J346"")"),0.0)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IFERROR(__xludf.DUMMYFUNCTION("IMPORTRANGE(""https://docs.google.com/spreadsheets/d/1SX6NBoVAgQJ6U1MVXOaj8PK2l7WJ3RER9xtqwdhxkhw/edit?usp=sharing"",""ตราด!I347"")"),0.0)</f>
        <v>0</v>
      </c>
      <c r="J452" s="222">
        <f>IFERROR(__xludf.DUMMYFUNCTION("IMPORTRANGE(""https://docs.google.com/spreadsheets/d/1SX6NBoVAgQJ6U1MVXOaj8PK2l7WJ3RER9xtqwdhxkhw/edit?usp=sharing"",""ตราด!J347"")"),0.0)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IFERROR(__xludf.DUMMYFUNCTION("IMPORTRANGE(""https://docs.google.com/spreadsheets/d/1SX6NBoVAgQJ6U1MVXOaj8PK2l7WJ3RER9xtqwdhxkhw/edit?usp=sharing"",""ตราด!J348"")"),0.0)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IFERROR(__xludf.DUMMYFUNCTION("IMPORTRANGE(""https://docs.google.com/spreadsheets/d/1SX6NBoVAgQJ6U1MVXOaj8PK2l7WJ3RER9xtqwdhxkhw/edit?usp=sharing"",""ตราด!J349"")"),0.0)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IFERROR(__xludf.DUMMYFUNCTION("IMPORTRANGE(""https://docs.google.com/spreadsheets/d/1SX6NBoVAgQJ6U1MVXOaj8PK2l7WJ3RER9xtqwdhxkhw/edit?usp=sharing"",""ตราด!I350"")"),0.0)</f>
        <v>0</v>
      </c>
      <c r="J455" s="404">
        <f>IFERROR(__xludf.DUMMYFUNCTION("IMPORTRANGE(""https://docs.google.com/spreadsheets/d/1SX6NBoVAgQJ6U1MVXOaj8PK2l7WJ3RER9xtqwdhxkhw/edit?usp=sharing"",""ตราด!J350"")"),0.0)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IFERROR(__xludf.DUMMYFUNCTION("IMPORTRANGE(""https://docs.google.com/spreadsheets/d/1SX6NBoVAgQJ6U1MVXOaj8PK2l7WJ3RER9xtqwdhxkhw/edit?usp=sharing"",""ตราด!L350"")"),66252.0)</f>
        <v>66252</v>
      </c>
      <c r="M455" s="406"/>
      <c r="N455" s="406">
        <f>IFERROR(__xludf.DUMMYFUNCTION("IMPORTRANGE(""https://docs.google.com/spreadsheets/d/1SX6NBoVAgQJ6U1MVXOaj8PK2l7WJ3RER9xtqwdhxkhw/edit?usp=sharing"",""ตราด!M350"")"),0.0)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IFERROR(__xludf.DUMMYFUNCTION("IMPORTRANGE(""https://docs.google.com/spreadsheets/d/1SX6NBoVAgQJ6U1MVXOaj8PK2l7WJ3RER9xtqwdhxkhw/edit?usp=sharing"",""ตราด!L351"")"),0.0)</f>
        <v>0</v>
      </c>
      <c r="M456" s="197"/>
      <c r="N456" s="203">
        <f>IFERROR(__xludf.DUMMYFUNCTION("IMPORTRANGE(""https://docs.google.com/spreadsheets/d/1SX6NBoVAgQJ6U1MVXOaj8PK2l7WJ3RER9xtqwdhxkhw/edit?usp=sharing"",""ตราด!M351"")"),0.0)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IFERROR(__xludf.DUMMYFUNCTION("IMPORTRANGE(""https://docs.google.com/spreadsheets/d/1SX6NBoVAgQJ6U1MVXOaj8PK2l7WJ3RER9xtqwdhxkhw/edit?usp=sharing"",""ตราด!L352"")"),66252.0)</f>
        <v>66252</v>
      </c>
      <c r="M457" s="198"/>
      <c r="N457" s="203">
        <f>IFERROR(__xludf.DUMMYFUNCTION("IMPORTRANGE(""https://docs.google.com/spreadsheets/d/1SX6NBoVAgQJ6U1MVXOaj8PK2l7WJ3RER9xtqwdhxkhw/edit?usp=sharing"",""ตราด!M352"")"),0.0)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IFERROR(__xludf.DUMMYFUNCTION("IMPORTRANGE(""https://docs.google.com/spreadsheets/d/1SX6NBoVAgQJ6U1MVXOaj8PK2l7WJ3RER9xtqwdhxkhw/edit?usp=sharing"",""ตราด!L353"")"),0.0)</f>
        <v>0</v>
      </c>
      <c r="M458" s="203"/>
      <c r="N458" s="203">
        <f>IFERROR(__xludf.DUMMYFUNCTION("IMPORTRANGE(""https://docs.google.com/spreadsheets/d/1SX6NBoVAgQJ6U1MVXOaj8PK2l7WJ3RER9xtqwdhxkhw/edit?usp=sharing"",""ตราด!M353"")"),0.0)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IFERROR(__xludf.DUMMYFUNCTION("IMPORTRANGE(""https://docs.google.com/spreadsheets/d/1SX6NBoVAgQJ6U1MVXOaj8PK2l7WJ3RER9xtqwdhxkhw/edit?usp=sharing"",""ตราด!L354"")"),66252.0)</f>
        <v>66252</v>
      </c>
      <c r="M459" s="203"/>
      <c r="N459" s="203">
        <f>IFERROR(__xludf.DUMMYFUNCTION("IMPORTRANGE(""https://docs.google.com/spreadsheets/d/1SX6NBoVAgQJ6U1MVXOaj8PK2l7WJ3RER9xtqwdhxkhw/edit?usp=sharing"",""ตราด!M354"")"),0.0)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IFERROR(__xludf.DUMMYFUNCTION("IMPORTRANGE(""https://docs.google.com/spreadsheets/d/1SX6NBoVAgQJ6U1MVXOaj8PK2l7WJ3RER9xtqwdhxkhw/edit?usp=sharing"",""ตราด!M355"")"),0.0)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IFERROR(__xludf.DUMMYFUNCTION("IMPORTRANGE(""https://docs.google.com/spreadsheets/d/1SX6NBoVAgQJ6U1MVXOaj8PK2l7WJ3RER9xtqwdhxkhw/edit?usp=sharing"",""ตราด!M356"")"),0.0)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IFERROR(__xludf.DUMMYFUNCTION("IMPORTRANGE(""https://docs.google.com/spreadsheets/d/1SX6NBoVAgQJ6U1MVXOaj8PK2l7WJ3RER9xtqwdhxkhw/edit?usp=sharing"",""ตราด!M357"")"),0.0)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IFERROR(__xludf.DUMMYFUNCTION("IMPORTRANGE(""https://docs.google.com/spreadsheets/d/1SX6NBoVAgQJ6U1MVXOaj8PK2l7WJ3RER9xtqwdhxkhw/edit?usp=sharing"",""ตราด!M358"")"),0.0)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IFERROR(__xludf.DUMMYFUNCTION("IMPORTRANGE(""https://docs.google.com/spreadsheets/d/1SX6NBoVAgQJ6U1MVXOaj8PK2l7WJ3RER9xtqwdhxkhw/edit?usp=sharing"",""ตราด!I359"")"),0.0)</f>
        <v>0</v>
      </c>
      <c r="J464" s="301">
        <f>IFERROR(__xludf.DUMMYFUNCTION("IMPORTRANGE(""https://docs.google.com/spreadsheets/d/1SX6NBoVAgQJ6U1MVXOaj8PK2l7WJ3RER9xtqwdhxkhw/edit?usp=sharing"",""ตราด!J359"")"),0.0)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IFERROR(__xludf.DUMMYFUNCTION("IMPORTRANGE(""https://docs.google.com/spreadsheets/d/1SX6NBoVAgQJ6U1MVXOaj8PK2l7WJ3RER9xtqwdhxkhw/edit?usp=sharing"",""ตราด!I360"")"),0.0)</f>
        <v>0</v>
      </c>
      <c r="J465" s="453">
        <f>IFERROR(__xludf.DUMMYFUNCTION("IMPORTRANGE(""https://docs.google.com/spreadsheets/d/1SX6NBoVAgQJ6U1MVXOaj8PK2l7WJ3RER9xtqwdhxkhw/edit?usp=sharing"",""ตราด!J360"")"),0.0)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IFERROR(__xludf.DUMMYFUNCTION("IMPORTRANGE(""https://docs.google.com/spreadsheets/d/1SX6NBoVAgQJ6U1MVXOaj8PK2l7WJ3RER9xtqwdhxkhw/edit?usp=sharing"",""ตราด!I361"")"),0.0)</f>
        <v>0</v>
      </c>
      <c r="J466" s="453">
        <f>IFERROR(__xludf.DUMMYFUNCTION("IMPORTRANGE(""https://docs.google.com/spreadsheets/d/1SX6NBoVAgQJ6U1MVXOaj8PK2l7WJ3RER9xtqwdhxkhw/edit?usp=sharing"",""ตราด!J361"")"),0.0)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IFERROR(__xludf.DUMMYFUNCTION("IMPORTRANGE(""https://docs.google.com/spreadsheets/d/1SX6NBoVAgQJ6U1MVXOaj8PK2l7WJ3RER9xtqwdhxkhw/edit?usp=sharing"",""ตราด!I362"")"),0.0)</f>
        <v>0</v>
      </c>
      <c r="J467" s="223">
        <f>IFERROR(__xludf.DUMMYFUNCTION("IMPORTRANGE(""https://docs.google.com/spreadsheets/d/1SX6NBoVAgQJ6U1MVXOaj8PK2l7WJ3RER9xtqwdhxkhw/edit?usp=sharing"",""ตราด!J362"")"),0.0)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IFERROR(__xludf.DUMMYFUNCTION("IMPORTRANGE(""https://docs.google.com/spreadsheets/d/1SX6NBoVAgQJ6U1MVXOaj8PK2l7WJ3RER9xtqwdhxkhw/edit?usp=sharing"",""ตราด!I363"")"),0.0)</f>
        <v>0</v>
      </c>
      <c r="J468" s="223">
        <f>IFERROR(__xludf.DUMMYFUNCTION("IMPORTRANGE(""https://docs.google.com/spreadsheets/d/1SX6NBoVAgQJ6U1MVXOaj8PK2l7WJ3RER9xtqwdhxkhw/edit?usp=sharing"",""ตราด!J363"")"),0.0)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IFERROR(__xludf.DUMMYFUNCTION("IMPORTRANGE(""https://docs.google.com/spreadsheets/d/1SX6NBoVAgQJ6U1MVXOaj8PK2l7WJ3RER9xtqwdhxkhw/edit?usp=sharing"",""ตราด!I364"")"),0.0)</f>
        <v>0</v>
      </c>
      <c r="J469" s="223">
        <f>IFERROR(__xludf.DUMMYFUNCTION("IMPORTRANGE(""https://docs.google.com/spreadsheets/d/1SX6NBoVAgQJ6U1MVXOaj8PK2l7WJ3RER9xtqwdhxkhw/edit?usp=sharing"",""ตราด!J364"")"),0.0)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IFERROR(__xludf.DUMMYFUNCTION("IMPORTRANGE(""https://docs.google.com/spreadsheets/d/1SX6NBoVAgQJ6U1MVXOaj8PK2l7WJ3RER9xtqwdhxkhw/edit?usp=sharing"",""ตราด!I365"")"),0.0)</f>
        <v>0</v>
      </c>
      <c r="J470" s="223">
        <f>IFERROR(__xludf.DUMMYFUNCTION("IMPORTRANGE(""https://docs.google.com/spreadsheets/d/1SX6NBoVAgQJ6U1MVXOaj8PK2l7WJ3RER9xtqwdhxkhw/edit?usp=sharing"",""ตราด!J365"")"),0.0)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IFERROR(__xludf.DUMMYFUNCTION("IMPORTRANGE(""https://docs.google.com/spreadsheets/d/1SX6NBoVAgQJ6U1MVXOaj8PK2l7WJ3RER9xtqwdhxkhw/edit?usp=sharing"",""ตราด!I366"")"),0.0)</f>
        <v>0</v>
      </c>
      <c r="J471" s="223">
        <f>IFERROR(__xludf.DUMMYFUNCTION("IMPORTRANGE(""https://docs.google.com/spreadsheets/d/1SX6NBoVAgQJ6U1MVXOaj8PK2l7WJ3RER9xtqwdhxkhw/edit?usp=sharing"",""ตราด!J366"")"),0.0)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IFERROR(__xludf.DUMMYFUNCTION("IMPORTRANGE(""https://docs.google.com/spreadsheets/d/1SX6NBoVAgQJ6U1MVXOaj8PK2l7WJ3RER9xtqwdhxkhw/edit?usp=sharing"",""ตราด!I367"")"),0.0)</f>
        <v>0</v>
      </c>
      <c r="J472" s="223">
        <f>IFERROR(__xludf.DUMMYFUNCTION("IMPORTRANGE(""https://docs.google.com/spreadsheets/d/1SX6NBoVAgQJ6U1MVXOaj8PK2l7WJ3RER9xtqwdhxkhw/edit?usp=sharing"",""ตราด!J367"")"),0.0)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IFERROR(__xludf.DUMMYFUNCTION("IMPORTRANGE(""https://docs.google.com/spreadsheets/d/1SX6NBoVAgQJ6U1MVXOaj8PK2l7WJ3RER9xtqwdhxkhw/edit?usp=sharing"",""ตราด!I368"")"),0.0)</f>
        <v>0</v>
      </c>
      <c r="J473" s="453">
        <f>IFERROR(__xludf.DUMMYFUNCTION("IMPORTRANGE(""https://docs.google.com/spreadsheets/d/1SX6NBoVAgQJ6U1MVXOaj8PK2l7WJ3RER9xtqwdhxkhw/edit?usp=sharing"",""ตราด!J368"")"),0.0)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IFERROR(__xludf.DUMMYFUNCTION("IMPORTRANGE(""https://docs.google.com/spreadsheets/d/1SX6NBoVAgQJ6U1MVXOaj8PK2l7WJ3RER9xtqwdhxkhw/edit?usp=sharing"",""ตราด!I369"")"),0.0)</f>
        <v>0</v>
      </c>
      <c r="J474" s="453">
        <f>IFERROR(__xludf.DUMMYFUNCTION("IMPORTRANGE(""https://docs.google.com/spreadsheets/d/1SX6NBoVAgQJ6U1MVXOaj8PK2l7WJ3RER9xtqwdhxkhw/edit?usp=sharing"",""ตราด!J369"")"),0.0)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IFERROR(__xludf.DUMMYFUNCTION("IMPORTRANGE(""https://docs.google.com/spreadsheets/d/1SX6NBoVAgQJ6U1MVXOaj8PK2l7WJ3RER9xtqwdhxkhw/edit?usp=sharing"",""ตราด!I370"")"),0.0)</f>
        <v>0</v>
      </c>
      <c r="J475" s="223">
        <f>IFERROR(__xludf.DUMMYFUNCTION("IMPORTRANGE(""https://docs.google.com/spreadsheets/d/1SX6NBoVAgQJ6U1MVXOaj8PK2l7WJ3RER9xtqwdhxkhw/edit?usp=sharing"",""ตราด!J370"")"),0.0)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IFERROR(__xludf.DUMMYFUNCTION("IMPORTRANGE(""https://docs.google.com/spreadsheets/d/1SX6NBoVAgQJ6U1MVXOaj8PK2l7WJ3RER9xtqwdhxkhw/edit?usp=sharing"",""ตราด!I371"")"),0.0)</f>
        <v>0</v>
      </c>
      <c r="J476" s="223">
        <f>IFERROR(__xludf.DUMMYFUNCTION("IMPORTRANGE(""https://docs.google.com/spreadsheets/d/1SX6NBoVAgQJ6U1MVXOaj8PK2l7WJ3RER9xtqwdhxkhw/edit?usp=sharing"",""ตราด!J371"")"),0.0)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IFERROR(__xludf.DUMMYFUNCTION("IMPORTRANGE(""https://docs.google.com/spreadsheets/d/1SX6NBoVAgQJ6U1MVXOaj8PK2l7WJ3RER9xtqwdhxkhw/edit?usp=sharing"",""ตราด!I372"")"),0.0)</f>
        <v>0</v>
      </c>
      <c r="J477" s="223">
        <f>IFERROR(__xludf.DUMMYFUNCTION("IMPORTRANGE(""https://docs.google.com/spreadsheets/d/1SX6NBoVAgQJ6U1MVXOaj8PK2l7WJ3RER9xtqwdhxkhw/edit?usp=sharing"",""ตราด!J372"")"),0.0)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IFERROR(__xludf.DUMMYFUNCTION("IMPORTRANGE(""https://docs.google.com/spreadsheets/d/1SX6NBoVAgQJ6U1MVXOaj8PK2l7WJ3RER9xtqwdhxkhw/edit?usp=sharing"",""ตราด!I373"")"),0.0)</f>
        <v>0</v>
      </c>
      <c r="J478" s="223">
        <f>IFERROR(__xludf.DUMMYFUNCTION("IMPORTRANGE(""https://docs.google.com/spreadsheets/d/1SX6NBoVAgQJ6U1MVXOaj8PK2l7WJ3RER9xtqwdhxkhw/edit?usp=sharing"",""ตราด!J373"")"),0.0)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IFERROR(__xludf.DUMMYFUNCTION("IMPORTRANGE(""https://docs.google.com/spreadsheets/d/1SX6NBoVAgQJ6U1MVXOaj8PK2l7WJ3RER9xtqwdhxkhw/edit?usp=sharing"",""ตราด!I374"")"),0.0)</f>
        <v>0</v>
      </c>
      <c r="J479" s="223">
        <f>IFERROR(__xludf.DUMMYFUNCTION("IMPORTRANGE(""https://docs.google.com/spreadsheets/d/1SX6NBoVAgQJ6U1MVXOaj8PK2l7WJ3RER9xtqwdhxkhw/edit?usp=sharing"",""ตราด!J374"")"),0.0)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IFERROR(__xludf.DUMMYFUNCTION("IMPORTRANGE(""https://docs.google.com/spreadsheets/d/1SX6NBoVAgQJ6U1MVXOaj8PK2l7WJ3RER9xtqwdhxkhw/edit?usp=sharing"",""ตราด!I375"")"),0.0)</f>
        <v>0</v>
      </c>
      <c r="J480" s="223">
        <f>IFERROR(__xludf.DUMMYFUNCTION("IMPORTRANGE(""https://docs.google.com/spreadsheets/d/1SX6NBoVAgQJ6U1MVXOaj8PK2l7WJ3RER9xtqwdhxkhw/edit?usp=sharing"",""ตราด!J375"")"),0.0)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IFERROR(__xludf.DUMMYFUNCTION("IMPORTRANGE(""https://docs.google.com/spreadsheets/d/1SX6NBoVAgQJ6U1MVXOaj8PK2l7WJ3RER9xtqwdhxkhw/edit?usp=sharing"",""ตราด!I376"")"),0.0)</f>
        <v>0</v>
      </c>
      <c r="J481" s="453">
        <f>IFERROR(__xludf.DUMMYFUNCTION("IMPORTRANGE(""https://docs.google.com/spreadsheets/d/1SX6NBoVAgQJ6U1MVXOaj8PK2l7WJ3RER9xtqwdhxkhw/edit?usp=sharing"",""ตราด!J376"")"),0.0)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IFERROR(__xludf.DUMMYFUNCTION("IMPORTRANGE(""https://docs.google.com/spreadsheets/d/1SX6NBoVAgQJ6U1MVXOaj8PK2l7WJ3RER9xtqwdhxkhw/edit?usp=sharing"",""ตราด!I377"")"),0.0)</f>
        <v>0</v>
      </c>
      <c r="J482" s="453">
        <f>IFERROR(__xludf.DUMMYFUNCTION("IMPORTRANGE(""https://docs.google.com/spreadsheets/d/1SX6NBoVAgQJ6U1MVXOaj8PK2l7WJ3RER9xtqwdhxkhw/edit?usp=sharing"",""ตราด!J377"")"),0.0)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IFERROR(__xludf.DUMMYFUNCTION("IMPORTRANGE(""https://docs.google.com/spreadsheets/d/1SX6NBoVAgQJ6U1MVXOaj8PK2l7WJ3RER9xtqwdhxkhw/edit?usp=sharing"",""ตราด!I378"")"),0.0)</f>
        <v>0</v>
      </c>
      <c r="J483" s="223">
        <f>IFERROR(__xludf.DUMMYFUNCTION("IMPORTRANGE(""https://docs.google.com/spreadsheets/d/1SX6NBoVAgQJ6U1MVXOaj8PK2l7WJ3RER9xtqwdhxkhw/edit?usp=sharing"",""ตราด!J378"")"),0.0)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IFERROR(__xludf.DUMMYFUNCTION("IMPORTRANGE(""https://docs.google.com/spreadsheets/d/1SX6NBoVAgQJ6U1MVXOaj8PK2l7WJ3RER9xtqwdhxkhw/edit?usp=sharing"",""ตราด!I379"")"),0.0)</f>
        <v>0</v>
      </c>
      <c r="J484" s="223">
        <f>IFERROR(__xludf.DUMMYFUNCTION("IMPORTRANGE(""https://docs.google.com/spreadsheets/d/1SX6NBoVAgQJ6U1MVXOaj8PK2l7WJ3RER9xtqwdhxkhw/edit?usp=sharing"",""ตราด!J379"")"),0.0)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IFERROR(__xludf.DUMMYFUNCTION("IMPORTRANGE(""https://docs.google.com/spreadsheets/d/1SX6NBoVAgQJ6U1MVXOaj8PK2l7WJ3RER9xtqwdhxkhw/edit?usp=sharing"",""ตราด!I380"")"),0.0)</f>
        <v>0</v>
      </c>
      <c r="J485" s="223">
        <f>IFERROR(__xludf.DUMMYFUNCTION("IMPORTRANGE(""https://docs.google.com/spreadsheets/d/1SX6NBoVAgQJ6U1MVXOaj8PK2l7WJ3RER9xtqwdhxkhw/edit?usp=sharing"",""ตราด!J380"")"),0.0)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IFERROR(__xludf.DUMMYFUNCTION("IMPORTRANGE(""https://docs.google.com/spreadsheets/d/1SX6NBoVAgQJ6U1MVXOaj8PK2l7WJ3RER9xtqwdhxkhw/edit?usp=sharing"",""ตราด!I381"")"),0.0)</f>
        <v>0</v>
      </c>
      <c r="J486" s="223">
        <f>IFERROR(__xludf.DUMMYFUNCTION("IMPORTRANGE(""https://docs.google.com/spreadsheets/d/1SX6NBoVAgQJ6U1MVXOaj8PK2l7WJ3RER9xtqwdhxkhw/edit?usp=sharing"",""ตราด!J381"")"),0.0)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IFERROR(__xludf.DUMMYFUNCTION("IMPORTRANGE(""https://docs.google.com/spreadsheets/d/1SX6NBoVAgQJ6U1MVXOaj8PK2l7WJ3RER9xtqwdhxkhw/edit?usp=sharing"",""ตราด!I382"")"),0.0)</f>
        <v>0</v>
      </c>
      <c r="J487" s="453">
        <f>IFERROR(__xludf.DUMMYFUNCTION("IMPORTRANGE(""https://docs.google.com/spreadsheets/d/1SX6NBoVAgQJ6U1MVXOaj8PK2l7WJ3RER9xtqwdhxkhw/edit?usp=sharing"",""ตราด!J382"")"),0.0)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IFERROR(__xludf.DUMMYFUNCTION("IMPORTRANGE(""https://docs.google.com/spreadsheets/d/1SX6NBoVAgQJ6U1MVXOaj8PK2l7WJ3RER9xtqwdhxkhw/edit?usp=sharing"",""ตราด!I383"")"),0.0)</f>
        <v>0</v>
      </c>
      <c r="J488" s="453">
        <f>IFERROR(__xludf.DUMMYFUNCTION("IMPORTRANGE(""https://docs.google.com/spreadsheets/d/1SX6NBoVAgQJ6U1MVXOaj8PK2l7WJ3RER9xtqwdhxkhw/edit?usp=sharing"",""ตราด!J383"")"),0.0)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IFERROR(__xludf.DUMMYFUNCTION("IMPORTRANGE(""https://docs.google.com/spreadsheets/d/1SX6NBoVAgQJ6U1MVXOaj8PK2l7WJ3RER9xtqwdhxkhw/edit?usp=sharing"",""ตราด!I384"")"),0.0)</f>
        <v>0</v>
      </c>
      <c r="J489" s="223">
        <f>IFERROR(__xludf.DUMMYFUNCTION("IMPORTRANGE(""https://docs.google.com/spreadsheets/d/1SX6NBoVAgQJ6U1MVXOaj8PK2l7WJ3RER9xtqwdhxkhw/edit?usp=sharing"",""ตราด!J384"")"),0.0)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IFERROR(__xludf.DUMMYFUNCTION("IMPORTRANGE(""https://docs.google.com/spreadsheets/d/1SX6NBoVAgQJ6U1MVXOaj8PK2l7WJ3RER9xtqwdhxkhw/edit?usp=sharing"",""ตราด!I385"")"),0.0)</f>
        <v>0</v>
      </c>
      <c r="J490" s="223">
        <f>IFERROR(__xludf.DUMMYFUNCTION("IMPORTRANGE(""https://docs.google.com/spreadsheets/d/1SX6NBoVAgQJ6U1MVXOaj8PK2l7WJ3RER9xtqwdhxkhw/edit?usp=sharing"",""ตราด!J385"")"),0.0)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IFERROR(__xludf.DUMMYFUNCTION("IMPORTRANGE(""https://docs.google.com/spreadsheets/d/1SX6NBoVAgQJ6U1MVXOaj8PK2l7WJ3RER9xtqwdhxkhw/edit?usp=sharing"",""ตราด!I386"")"),0.0)</f>
        <v>0</v>
      </c>
      <c r="J491" s="223">
        <f>IFERROR(__xludf.DUMMYFUNCTION("IMPORTRANGE(""https://docs.google.com/spreadsheets/d/1SX6NBoVAgQJ6U1MVXOaj8PK2l7WJ3RER9xtqwdhxkhw/edit?usp=sharing"",""ตราด!J386"")"),0.0)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IFERROR(__xludf.DUMMYFUNCTION("IMPORTRANGE(""https://docs.google.com/spreadsheets/d/1SX6NBoVAgQJ6U1MVXOaj8PK2l7WJ3RER9xtqwdhxkhw/edit?usp=sharing"",""ตราด!I387"")"),0.0)</f>
        <v>0</v>
      </c>
      <c r="J492" s="223">
        <f>IFERROR(__xludf.DUMMYFUNCTION("IMPORTRANGE(""https://docs.google.com/spreadsheets/d/1SX6NBoVAgQJ6U1MVXOaj8PK2l7WJ3RER9xtqwdhxkhw/edit?usp=sharing"",""ตราด!J387"")"),0.0)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IFERROR(__xludf.DUMMYFUNCTION("IMPORTRANGE(""https://docs.google.com/spreadsheets/d/1SX6NBoVAgQJ6U1MVXOaj8PK2l7WJ3RER9xtqwdhxkhw/edit?usp=sharing"",""ตราด!I388"")"),0.0)</f>
        <v>0</v>
      </c>
      <c r="J493" s="223">
        <f>IFERROR(__xludf.DUMMYFUNCTION("IMPORTRANGE(""https://docs.google.com/spreadsheets/d/1SX6NBoVAgQJ6U1MVXOaj8PK2l7WJ3RER9xtqwdhxkhw/edit?usp=sharing"",""ตราด!J388"")"),0.0)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IFERROR(__xludf.DUMMYFUNCTION("IMPORTRANGE(""https://docs.google.com/spreadsheets/d/1SX6NBoVAgQJ6U1MVXOaj8PK2l7WJ3RER9xtqwdhxkhw/edit?usp=sharing"",""ตราด!I389"")"),0.0)</f>
        <v>0</v>
      </c>
      <c r="J494" s="469">
        <f>IFERROR(__xludf.DUMMYFUNCTION("IMPORTRANGE(""https://docs.google.com/spreadsheets/d/1SX6NBoVAgQJ6U1MVXOaj8PK2l7WJ3RER9xtqwdhxkhw/edit?usp=sharing"",""ตราด!J389"")"),0.0)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IFERROR(__xludf.DUMMYFUNCTION("IMPORTRANGE(""https://docs.google.com/spreadsheets/d/1SX6NBoVAgQJ6U1MVXOaj8PK2l7WJ3RER9xtqwdhxkhw/edit?usp=sharing"",""ตราด!I390"")"),0.0)</f>
        <v>0</v>
      </c>
      <c r="J495" s="469">
        <f>IFERROR(__xludf.DUMMYFUNCTION("IMPORTRANGE(""https://docs.google.com/spreadsheets/d/1SX6NBoVAgQJ6U1MVXOaj8PK2l7WJ3RER9xtqwdhxkhw/edit?usp=sharing"",""ตราด!J390"")"),0.0)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IFERROR(__xludf.DUMMYFUNCTION("IMPORTRANGE(""https://docs.google.com/spreadsheets/d/1SX6NBoVAgQJ6U1MVXOaj8PK2l7WJ3RER9xtqwdhxkhw/edit?usp=sharing"",""ตราด!I391"")"),0.0)</f>
        <v>0</v>
      </c>
      <c r="J496" s="469">
        <f>IFERROR(__xludf.DUMMYFUNCTION("IMPORTRANGE(""https://docs.google.com/spreadsheets/d/1SX6NBoVAgQJ6U1MVXOaj8PK2l7WJ3RER9xtqwdhxkhw/edit?usp=sharing"",""ตราด!J391"")"),0.0)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IFERROR(__xludf.DUMMYFUNCTION("IMPORTRANGE(""https://docs.google.com/spreadsheets/d/1SX6NBoVAgQJ6U1MVXOaj8PK2l7WJ3RER9xtqwdhxkhw/edit?usp=sharing"",""ตราด!I392"")"),1395.0)</f>
        <v>1395</v>
      </c>
      <c r="J497" s="476">
        <f>IFERROR(__xludf.DUMMYFUNCTION("IMPORTRANGE(""https://docs.google.com/spreadsheets/d/1SX6NBoVAgQJ6U1MVXOaj8PK2l7WJ3RER9xtqwdhxkhw/edit?usp=sharing"",""ตราด!J392"")"),111.0)</f>
        <v>111</v>
      </c>
      <c r="K497" s="477">
        <f t="shared" si="118"/>
        <v>7.956989247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IFERROR(__xludf.DUMMYFUNCTION("IMPORTRANGE(""https://docs.google.com/spreadsheets/d/1SX6NBoVAgQJ6U1MVXOaj8PK2l7WJ3RER9xtqwdhxkhw/edit?usp=sharing"",""ตราด!I393"")"),1395.0)</f>
        <v>1395</v>
      </c>
      <c r="J498" s="453">
        <f>IFERROR(__xludf.DUMMYFUNCTION("IMPORTRANGE(""https://docs.google.com/spreadsheets/d/1SX6NBoVAgQJ6U1MVXOaj8PK2l7WJ3RER9xtqwdhxkhw/edit?usp=sharing"",""ตราด!J393"")"),111.0)</f>
        <v>111</v>
      </c>
      <c r="K498" s="196">
        <f t="shared" si="118"/>
        <v>7.956989247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IFERROR(__xludf.DUMMYFUNCTION("IMPORTRANGE(""https://docs.google.com/spreadsheets/d/1SX6NBoVAgQJ6U1MVXOaj8PK2l7WJ3RER9xtqwdhxkhw/edit?usp=sharing"",""ตราด!I394"")"),89.0)</f>
        <v>89</v>
      </c>
      <c r="J499" s="453">
        <f>IFERROR(__xludf.DUMMYFUNCTION("IMPORTRANGE(""https://docs.google.com/spreadsheets/d/1SX6NBoVAgQJ6U1MVXOaj8PK2l7WJ3RER9xtqwdhxkhw/edit?usp=sharing"",""ตราด!J394"")"),7.0)</f>
        <v>7</v>
      </c>
      <c r="K499" s="236">
        <f t="shared" si="118"/>
        <v>7.865168539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IFERROR(__xludf.DUMMYFUNCTION("IMPORTRANGE(""https://docs.google.com/spreadsheets/d/1SX6NBoVAgQJ6U1MVXOaj8PK2l7WJ3RER9xtqwdhxkhw/edit?usp=sharing"",""ตราด!I395"")"),0.0)</f>
        <v>0</v>
      </c>
      <c r="J500" s="195">
        <f>IFERROR(__xludf.DUMMYFUNCTION("IMPORTRANGE(""https://docs.google.com/spreadsheets/d/1SX6NBoVAgQJ6U1MVXOaj8PK2l7WJ3RER9xtqwdhxkhw/edit?usp=sharing"",""ตราด!J395"")"),111.0)</f>
        <v>111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IFERROR(__xludf.DUMMYFUNCTION("IMPORTRANGE(""https://docs.google.com/spreadsheets/d/1SX6NBoVAgQJ6U1MVXOaj8PK2l7WJ3RER9xtqwdhxkhw/edit?usp=sharing"",""ตราด!I396"")"),0.0)</f>
        <v>0</v>
      </c>
      <c r="J501" s="195">
        <f>IFERROR(__xludf.DUMMYFUNCTION("IMPORTRANGE(""https://docs.google.com/spreadsheets/d/1SX6NBoVAgQJ6U1MVXOaj8PK2l7WJ3RER9xtqwdhxkhw/edit?usp=sharing"",""ตราด!J396"")"),7.0)</f>
        <v>7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IFERROR(__xludf.DUMMYFUNCTION("IMPORTRANGE(""https://docs.google.com/spreadsheets/d/1SX6NBoVAgQJ6U1MVXOaj8PK2l7WJ3RER9xtqwdhxkhw/edit?usp=sharing"",""ตราด!I397"")"),0.0)</f>
        <v>0</v>
      </c>
      <c r="J502" s="223">
        <f>IFERROR(__xludf.DUMMYFUNCTION("IMPORTRANGE(""https://docs.google.com/spreadsheets/d/1SX6NBoVAgQJ6U1MVXOaj8PK2l7WJ3RER9xtqwdhxkhw/edit?usp=sharing"",""ตราด!J397"")"),111.0)</f>
        <v>111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IFERROR(__xludf.DUMMYFUNCTION("IMPORTRANGE(""https://docs.google.com/spreadsheets/d/1SX6NBoVAgQJ6U1MVXOaj8PK2l7WJ3RER9xtqwdhxkhw/edit?usp=sharing"",""ตราด!I398"")"),0.0)</f>
        <v>0</v>
      </c>
      <c r="J503" s="232">
        <f>IFERROR(__xludf.DUMMYFUNCTION("IMPORTRANGE(""https://docs.google.com/spreadsheets/d/1SX6NBoVAgQJ6U1MVXOaj8PK2l7WJ3RER9xtqwdhxkhw/edit?usp=sharing"",""ตราด!J398"")"),7.0)</f>
        <v>7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IFERROR(__xludf.DUMMYFUNCTION("IMPORTRANGE(""https://docs.google.com/spreadsheets/d/1SX6NBoVAgQJ6U1MVXOaj8PK2l7WJ3RER9xtqwdhxkhw/edit?usp=sharing"",""ตราด!I399"")"),0.0)</f>
        <v>0</v>
      </c>
      <c r="J504" s="223">
        <f>IFERROR(__xludf.DUMMYFUNCTION("IMPORTRANGE(""https://docs.google.com/spreadsheets/d/1SX6NBoVAgQJ6U1MVXOaj8PK2l7WJ3RER9xtqwdhxkhw/edit?usp=sharing"",""ตราด!J399"")"),0.0)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IFERROR(__xludf.DUMMYFUNCTION("IMPORTRANGE(""https://docs.google.com/spreadsheets/d/1SX6NBoVAgQJ6U1MVXOaj8PK2l7WJ3RER9xtqwdhxkhw/edit?usp=sharing"",""ตราด!I400"")"),0.0)</f>
        <v>0</v>
      </c>
      <c r="J505" s="232">
        <f>IFERROR(__xludf.DUMMYFUNCTION("IMPORTRANGE(""https://docs.google.com/spreadsheets/d/1SX6NBoVAgQJ6U1MVXOaj8PK2l7WJ3RER9xtqwdhxkhw/edit?usp=sharing"",""ตราด!J400"")"),0.0)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IFERROR(__xludf.DUMMYFUNCTION("IMPORTRANGE(""https://docs.google.com/spreadsheets/d/1SX6NBoVAgQJ6U1MVXOaj8PK2l7WJ3RER9xtqwdhxkhw/edit?usp=sharing"",""ตราด!I401"")"),0.0)</f>
        <v>0</v>
      </c>
      <c r="J506" s="223">
        <f>IFERROR(__xludf.DUMMYFUNCTION("IMPORTRANGE(""https://docs.google.com/spreadsheets/d/1SX6NBoVAgQJ6U1MVXOaj8PK2l7WJ3RER9xtqwdhxkhw/edit?usp=sharing"",""ตราด!J401"")"),0.0)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IFERROR(__xludf.DUMMYFUNCTION("IMPORTRANGE(""https://docs.google.com/spreadsheets/d/1SX6NBoVAgQJ6U1MVXOaj8PK2l7WJ3RER9xtqwdhxkhw/edit?usp=sharing"",""ตราด!I402"")"),0.0)</f>
        <v>0</v>
      </c>
      <c r="J507" s="232">
        <f>IFERROR(__xludf.DUMMYFUNCTION("IMPORTRANGE(""https://docs.google.com/spreadsheets/d/1SX6NBoVAgQJ6U1MVXOaj8PK2l7WJ3RER9xtqwdhxkhw/edit?usp=sharing"",""ตราด!J402"")"),0.0)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IFERROR(__xludf.DUMMYFUNCTION("IMPORTRANGE(""https://docs.google.com/spreadsheets/d/1SX6NBoVAgQJ6U1MVXOaj8PK2l7WJ3RER9xtqwdhxkhw/edit?usp=sharing"",""ตราด!I403"")"),0.0)</f>
        <v>0</v>
      </c>
      <c r="J508" s="195">
        <f>IFERROR(__xludf.DUMMYFUNCTION("IMPORTRANGE(""https://docs.google.com/spreadsheets/d/1SX6NBoVAgQJ6U1MVXOaj8PK2l7WJ3RER9xtqwdhxkhw/edit?usp=sharing"",""ตราด!J403"")"),0.0)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IFERROR(__xludf.DUMMYFUNCTION("IMPORTRANGE(""https://docs.google.com/spreadsheets/d/1SX6NBoVAgQJ6U1MVXOaj8PK2l7WJ3RER9xtqwdhxkhw/edit?usp=sharing"",""ตราด!I404"")"),0.0)</f>
        <v>0</v>
      </c>
      <c r="J509" s="195">
        <f>IFERROR(__xludf.DUMMYFUNCTION("IMPORTRANGE(""https://docs.google.com/spreadsheets/d/1SX6NBoVAgQJ6U1MVXOaj8PK2l7WJ3RER9xtqwdhxkhw/edit?usp=sharing"",""ตราด!J404"")"),0.0)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IFERROR(__xludf.DUMMYFUNCTION("IMPORTRANGE(""https://docs.google.com/spreadsheets/d/1SX6NBoVAgQJ6U1MVXOaj8PK2l7WJ3RER9xtqwdhxkhw/edit?usp=sharing"",""ตราด!I405"")"),0.0)</f>
        <v>0</v>
      </c>
      <c r="J510" s="232">
        <f>IFERROR(__xludf.DUMMYFUNCTION("IMPORTRANGE(""https://docs.google.com/spreadsheets/d/1SX6NBoVAgQJ6U1MVXOaj8PK2l7WJ3RER9xtqwdhxkhw/edit?usp=sharing"",""ตราด!J405"")"),0.0)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IFERROR(__xludf.DUMMYFUNCTION("IMPORTRANGE(""https://docs.google.com/spreadsheets/d/1SX6NBoVAgQJ6U1MVXOaj8PK2l7WJ3RER9xtqwdhxkhw/edit?usp=sharing"",""ตราด!I406"")"),0.0)</f>
        <v>0</v>
      </c>
      <c r="J511" s="232">
        <f>IFERROR(__xludf.DUMMYFUNCTION("IMPORTRANGE(""https://docs.google.com/spreadsheets/d/1SX6NBoVAgQJ6U1MVXOaj8PK2l7WJ3RER9xtqwdhxkhw/edit?usp=sharing"",""ตราด!J406"")"),0.0)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IFERROR(__xludf.DUMMYFUNCTION("IMPORTRANGE(""https://docs.google.com/spreadsheets/d/1SX6NBoVAgQJ6U1MVXOaj8PK2l7WJ3RER9xtqwdhxkhw/edit?usp=sharing"",""ตราด!I407"")"),0.0)</f>
        <v>0</v>
      </c>
      <c r="J512" s="232">
        <f>IFERROR(__xludf.DUMMYFUNCTION("IMPORTRANGE(""https://docs.google.com/spreadsheets/d/1SX6NBoVAgQJ6U1MVXOaj8PK2l7WJ3RER9xtqwdhxkhw/edit?usp=sharing"",""ตราด!J407"")"),0.0)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IFERROR(__xludf.DUMMYFUNCTION("IMPORTRANGE(""https://docs.google.com/spreadsheets/d/1SX6NBoVAgQJ6U1MVXOaj8PK2l7WJ3RER9xtqwdhxkhw/edit?usp=sharing"",""ตราด!I408"")"),0.0)</f>
        <v>0</v>
      </c>
      <c r="J513" s="232">
        <f>IFERROR(__xludf.DUMMYFUNCTION("IMPORTRANGE(""https://docs.google.com/spreadsheets/d/1SX6NBoVAgQJ6U1MVXOaj8PK2l7WJ3RER9xtqwdhxkhw/edit?usp=sharing"",""ตราด!J408"")"),0.0)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IFERROR(__xludf.DUMMYFUNCTION("IMPORTRANGE(""https://docs.google.com/spreadsheets/d/1SX6NBoVAgQJ6U1MVXOaj8PK2l7WJ3RER9xtqwdhxkhw/edit?usp=sharing"",""ตราด!I409"")"),0.0)</f>
        <v>0</v>
      </c>
      <c r="J514" s="232">
        <f>IFERROR(__xludf.DUMMYFUNCTION("IMPORTRANGE(""https://docs.google.com/spreadsheets/d/1SX6NBoVAgQJ6U1MVXOaj8PK2l7WJ3RER9xtqwdhxkhw/edit?usp=sharing"",""ตราด!J409"")"),0.0)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IFERROR(__xludf.DUMMYFUNCTION("IMPORTRANGE(""https://docs.google.com/spreadsheets/d/1SX6NBoVAgQJ6U1MVXOaj8PK2l7WJ3RER9xtqwdhxkhw/edit?usp=sharing"",""ตราด!I410"")"),0.0)</f>
        <v>0</v>
      </c>
      <c r="J515" s="232">
        <f>IFERROR(__xludf.DUMMYFUNCTION("IMPORTRANGE(""https://docs.google.com/spreadsheets/d/1SX6NBoVAgQJ6U1MVXOaj8PK2l7WJ3RER9xtqwdhxkhw/edit?usp=sharing"",""ตราด!J410"")"),0.0)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IFERROR(__xludf.DUMMYFUNCTION("IMPORTRANGE(""https://docs.google.com/spreadsheets/d/1SX6NBoVAgQJ6U1MVXOaj8PK2l7WJ3RER9xtqwdhxkhw/edit?usp=sharing"",""ตราด!I411"")"),0.0)</f>
        <v>0</v>
      </c>
      <c r="J516" s="301">
        <f>IFERROR(__xludf.DUMMYFUNCTION("IMPORTRANGE(""https://docs.google.com/spreadsheets/d/1SX6NBoVAgQJ6U1MVXOaj8PK2l7WJ3RER9xtqwdhxkhw/edit?usp=sharing"",""ตราด!J411"")"),0.0)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IFERROR(__xludf.DUMMYFUNCTION("IMPORTRANGE(""https://docs.google.com/spreadsheets/d/1SX6NBoVAgQJ6U1MVXOaj8PK2l7WJ3RER9xtqwdhxkhw/edit?usp=sharing"",""ตราด!I412"")"),0.0)</f>
        <v>0</v>
      </c>
      <c r="J517" s="317">
        <f>IFERROR(__xludf.DUMMYFUNCTION("IMPORTRANGE(""https://docs.google.com/spreadsheets/d/1SX6NBoVAgQJ6U1MVXOaj8PK2l7WJ3RER9xtqwdhxkhw/edit?usp=sharing"",""ตราด!J412"")"),0.0)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IFERROR(__xludf.DUMMYFUNCTION("IMPORTRANGE(""https://docs.google.com/spreadsheets/d/1SX6NBoVAgQJ6U1MVXOaj8PK2l7WJ3RER9xtqwdhxkhw/edit?usp=sharing"",""ตราด!I413"")"),0.0)</f>
        <v>0</v>
      </c>
      <c r="J518" s="317">
        <f>IFERROR(__xludf.DUMMYFUNCTION("IMPORTRANGE(""https://docs.google.com/spreadsheets/d/1SX6NBoVAgQJ6U1MVXOaj8PK2l7WJ3RER9xtqwdhxkhw/edit?usp=sharing"",""ตราด!J413"")"),0.0)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IFERROR(__xludf.DUMMYFUNCTION("IMPORTRANGE(""https://docs.google.com/spreadsheets/d/1SX6NBoVAgQJ6U1MVXOaj8PK2l7WJ3RER9xtqwdhxkhw/edit?usp=sharing"",""ตราด!I414"")"),0.0)</f>
        <v>0</v>
      </c>
      <c r="J519" s="222">
        <f>IFERROR(__xludf.DUMMYFUNCTION("IMPORTRANGE(""https://docs.google.com/spreadsheets/d/1SX6NBoVAgQJ6U1MVXOaj8PK2l7WJ3RER9xtqwdhxkhw/edit?usp=sharing"",""ตราด!J414"")"),0.0)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IFERROR(__xludf.DUMMYFUNCTION("IMPORTRANGE(""https://docs.google.com/spreadsheets/d/1SX6NBoVAgQJ6U1MVXOaj8PK2l7WJ3RER9xtqwdhxkhw/edit?usp=sharing"",""ตราด!I415"")"),0.0)</f>
        <v>0</v>
      </c>
      <c r="J520" s="222">
        <f>IFERROR(__xludf.DUMMYFUNCTION("IMPORTRANGE(""https://docs.google.com/spreadsheets/d/1SX6NBoVAgQJ6U1MVXOaj8PK2l7WJ3RER9xtqwdhxkhw/edit?usp=sharing"",""ตราด!J415"")"),0.0)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IFERROR(__xludf.DUMMYFUNCTION("IMPORTRANGE(""https://docs.google.com/spreadsheets/d/1SX6NBoVAgQJ6U1MVXOaj8PK2l7WJ3RER9xtqwdhxkhw/edit?usp=sharing"",""ตราด!I416"")"),0.0)</f>
        <v>0</v>
      </c>
      <c r="J521" s="222">
        <f>IFERROR(__xludf.DUMMYFUNCTION("IMPORTRANGE(""https://docs.google.com/spreadsheets/d/1SX6NBoVAgQJ6U1MVXOaj8PK2l7WJ3RER9xtqwdhxkhw/edit?usp=sharing"",""ตราด!J416"")"),0.0)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IFERROR(__xludf.DUMMYFUNCTION("IMPORTRANGE(""https://docs.google.com/spreadsheets/d/1SX6NBoVAgQJ6U1MVXOaj8PK2l7WJ3RER9xtqwdhxkhw/edit?usp=sharing"",""ตราด!I417"")"),0.0)</f>
        <v>0</v>
      </c>
      <c r="J522" s="222">
        <f>IFERROR(__xludf.DUMMYFUNCTION("IMPORTRANGE(""https://docs.google.com/spreadsheets/d/1SX6NBoVAgQJ6U1MVXOaj8PK2l7WJ3RER9xtqwdhxkhw/edit?usp=sharing"",""ตราด!J417"")"),0.0)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IFERROR(__xludf.DUMMYFUNCTION("IMPORTRANGE(""https://docs.google.com/spreadsheets/d/1SX6NBoVAgQJ6U1MVXOaj8PK2l7WJ3RER9xtqwdhxkhw/edit?usp=sharing"",""ตราด!I418"")"),0.0)</f>
        <v>0</v>
      </c>
      <c r="J523" s="222">
        <f>IFERROR(__xludf.DUMMYFUNCTION("IMPORTRANGE(""https://docs.google.com/spreadsheets/d/1SX6NBoVAgQJ6U1MVXOaj8PK2l7WJ3RER9xtqwdhxkhw/edit?usp=sharing"",""ตราด!J418"")"),0.0)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IFERROR(__xludf.DUMMYFUNCTION("IMPORTRANGE(""https://docs.google.com/spreadsheets/d/1SX6NBoVAgQJ6U1MVXOaj8PK2l7WJ3RER9xtqwdhxkhw/edit?usp=sharing"",""ตราด!I419"")"),0.0)</f>
        <v>0</v>
      </c>
      <c r="J524" s="222">
        <f>IFERROR(__xludf.DUMMYFUNCTION("IMPORTRANGE(""https://docs.google.com/spreadsheets/d/1SX6NBoVAgQJ6U1MVXOaj8PK2l7WJ3RER9xtqwdhxkhw/edit?usp=sharing"",""ตราด!J419"")"),0.0)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IFERROR(__xludf.DUMMYFUNCTION("IMPORTRANGE(""https://docs.google.com/spreadsheets/d/1SX6NBoVAgQJ6U1MVXOaj8PK2l7WJ3RER9xtqwdhxkhw/edit?usp=sharing"",""ตราด!I420"")"),0.0)</f>
        <v>0</v>
      </c>
      <c r="J525" s="317">
        <f>IFERROR(__xludf.DUMMYFUNCTION("IMPORTRANGE(""https://docs.google.com/spreadsheets/d/1SX6NBoVAgQJ6U1MVXOaj8PK2l7WJ3RER9xtqwdhxkhw/edit?usp=sharing"",""ตราด!J420"")"),0.0)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IFERROR(__xludf.DUMMYFUNCTION("IMPORTRANGE(""https://docs.google.com/spreadsheets/d/1SX6NBoVAgQJ6U1MVXOaj8PK2l7WJ3RER9xtqwdhxkhw/edit?usp=sharing"",""ตราด!I421"")"),0.0)</f>
        <v>0</v>
      </c>
      <c r="J526" s="317">
        <f>IFERROR(__xludf.DUMMYFUNCTION("IMPORTRANGE(""https://docs.google.com/spreadsheets/d/1SX6NBoVAgQJ6U1MVXOaj8PK2l7WJ3RER9xtqwdhxkhw/edit?usp=sharing"",""ตราด!J421"")"),0.0)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IFERROR(__xludf.DUMMYFUNCTION("IMPORTRANGE(""https://docs.google.com/spreadsheets/d/1SX6NBoVAgQJ6U1MVXOaj8PK2l7WJ3RER9xtqwdhxkhw/edit?usp=sharing"",""ตราด!I422"")"),0.0)</f>
        <v>0</v>
      </c>
      <c r="J527" s="232">
        <f>IFERROR(__xludf.DUMMYFUNCTION("IMPORTRANGE(""https://docs.google.com/spreadsheets/d/1SX6NBoVAgQJ6U1MVXOaj8PK2l7WJ3RER9xtqwdhxkhw/edit?usp=sharing"",""ตราด!J422"")"),0.0)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IFERROR(__xludf.DUMMYFUNCTION("IMPORTRANGE(""https://docs.google.com/spreadsheets/d/1SX6NBoVAgQJ6U1MVXOaj8PK2l7WJ3RER9xtqwdhxkhw/edit?usp=sharing"",""ตราด!I423"")"),0.0)</f>
        <v>0</v>
      </c>
      <c r="J528" s="232">
        <f>IFERROR(__xludf.DUMMYFUNCTION("IMPORTRANGE(""https://docs.google.com/spreadsheets/d/1SX6NBoVAgQJ6U1MVXOaj8PK2l7WJ3RER9xtqwdhxkhw/edit?usp=sharing"",""ตราด!J423"")"),0.0)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IFERROR(__xludf.DUMMYFUNCTION("IMPORTRANGE(""https://docs.google.com/spreadsheets/d/1SX6NBoVAgQJ6U1MVXOaj8PK2l7WJ3RER9xtqwdhxkhw/edit?usp=sharing"",""ตราด!I424"")"),0.0)</f>
        <v>0</v>
      </c>
      <c r="J529" s="232">
        <f>IFERROR(__xludf.DUMMYFUNCTION("IMPORTRANGE(""https://docs.google.com/spreadsheets/d/1SX6NBoVAgQJ6U1MVXOaj8PK2l7WJ3RER9xtqwdhxkhw/edit?usp=sharing"",""ตราด!J424"")"),0.0)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IFERROR(__xludf.DUMMYFUNCTION("IMPORTRANGE(""https://docs.google.com/spreadsheets/d/1SX6NBoVAgQJ6U1MVXOaj8PK2l7WJ3RER9xtqwdhxkhw/edit?usp=sharing"",""ตราด!I425"")"),0.0)</f>
        <v>0</v>
      </c>
      <c r="J530" s="232">
        <f>IFERROR(__xludf.DUMMYFUNCTION("IMPORTRANGE(""https://docs.google.com/spreadsheets/d/1SX6NBoVAgQJ6U1MVXOaj8PK2l7WJ3RER9xtqwdhxkhw/edit?usp=sharing"",""ตราด!J425"")"),0.0)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IFERROR(__xludf.DUMMYFUNCTION("IMPORTRANGE(""https://docs.google.com/spreadsheets/d/1SX6NBoVAgQJ6U1MVXOaj8PK2l7WJ3RER9xtqwdhxkhw/edit?usp=sharing"",""ตราด!I426"")"),0.0)</f>
        <v>0</v>
      </c>
      <c r="J531" s="232">
        <f>IFERROR(__xludf.DUMMYFUNCTION("IMPORTRANGE(""https://docs.google.com/spreadsheets/d/1SX6NBoVAgQJ6U1MVXOaj8PK2l7WJ3RER9xtqwdhxkhw/edit?usp=sharing"",""ตราด!J426"")"),0.0)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IFERROR(__xludf.DUMMYFUNCTION("IMPORTRANGE(""https://docs.google.com/spreadsheets/d/1SX6NBoVAgQJ6U1MVXOaj8PK2l7WJ3RER9xtqwdhxkhw/edit?usp=sharing"",""ตราด!I427"")"),0.0)</f>
        <v>0</v>
      </c>
      <c r="J532" s="499">
        <f>IFERROR(__xludf.DUMMYFUNCTION("IMPORTRANGE(""https://docs.google.com/spreadsheets/d/1SX6NBoVAgQJ6U1MVXOaj8PK2l7WJ3RER9xtqwdhxkhw/edit?usp=sharing"",""ตราด!J427"")"),0.0)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IFERROR(__xludf.DUMMYFUNCTION("IMPORTRANGE(""https://docs.google.com/spreadsheets/d/1SX6NBoVAgQJ6U1MVXOaj8PK2l7WJ3RER9xtqwdhxkhw/edit?usp=sharing"",""ตราด!I428"")"),22.0)</f>
        <v>22</v>
      </c>
      <c r="J533" s="443">
        <f>IFERROR(__xludf.DUMMYFUNCTION("IMPORTRANGE(""https://docs.google.com/spreadsheets/d/1SX6NBoVAgQJ6U1MVXOaj8PK2l7WJ3RER9xtqwdhxkhw/edit?usp=sharing"",""ตราด!J428"")"),22.0)</f>
        <v>22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IFERROR(__xludf.DUMMYFUNCTION("IMPORTRANGE(""https://docs.google.com/spreadsheets/d/1SX6NBoVAgQJ6U1MVXOaj8PK2l7WJ3RER9xtqwdhxkhw/edit?usp=sharing"",""ตราด!L428"")"),34340.0)</f>
        <v>34340</v>
      </c>
      <c r="M533" s="445"/>
      <c r="N533" s="445">
        <f>IFERROR(__xludf.DUMMYFUNCTION("IMPORTRANGE(""https://docs.google.com/spreadsheets/d/1SX6NBoVAgQJ6U1MVXOaj8PK2l7WJ3RER9xtqwdhxkhw/edit?usp=sharing"",""ตราด!M428"")"),23174.0)</f>
        <v>23174</v>
      </c>
      <c r="O533" s="445">
        <f t="shared" ref="O533:O537" si="119">+IF(L533&gt;0,N533*100/L533,0)</f>
        <v>67.48398369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IFERROR(__xludf.DUMMYFUNCTION("IMPORTRANGE(""https://docs.google.com/spreadsheets/d/1SX6NBoVAgQJ6U1MVXOaj8PK2l7WJ3RER9xtqwdhxkhw/edit?usp=sharing"",""ตราด!L429"")"),0.0)</f>
        <v>0</v>
      </c>
      <c r="M534" s="197"/>
      <c r="N534" s="203">
        <f>IFERROR(__xludf.DUMMYFUNCTION("IMPORTRANGE(""https://docs.google.com/spreadsheets/d/1SX6NBoVAgQJ6U1MVXOaj8PK2l7WJ3RER9xtqwdhxkhw/edit?usp=sharing"",""ตราด!M429"")"),0.0)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IFERROR(__xludf.DUMMYFUNCTION("IMPORTRANGE(""https://docs.google.com/spreadsheets/d/1SX6NBoVAgQJ6U1MVXOaj8PK2l7WJ3RER9xtqwdhxkhw/edit?usp=sharing"",""ตราด!L430"")"),34340.0)</f>
        <v>34340</v>
      </c>
      <c r="M535" s="198"/>
      <c r="N535" s="203">
        <f>IFERROR(__xludf.DUMMYFUNCTION("IMPORTRANGE(""https://docs.google.com/spreadsheets/d/1SX6NBoVAgQJ6U1MVXOaj8PK2l7WJ3RER9xtqwdhxkhw/edit?usp=sharing"",""ตราด!M430"")"),23174.0)</f>
        <v>23174</v>
      </c>
      <c r="O535" s="203">
        <f t="shared" si="119"/>
        <v>67.48398369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IFERROR(__xludf.DUMMYFUNCTION("IMPORTRANGE(""https://docs.google.com/spreadsheets/d/1SX6NBoVAgQJ6U1MVXOaj8PK2l7WJ3RER9xtqwdhxkhw/edit?usp=sharing"",""ตราด!L431"")"),0.0)</f>
        <v>0</v>
      </c>
      <c r="M536" s="203"/>
      <c r="N536" s="203">
        <f>IFERROR(__xludf.DUMMYFUNCTION("IMPORTRANGE(""https://docs.google.com/spreadsheets/d/1SX6NBoVAgQJ6U1MVXOaj8PK2l7WJ3RER9xtqwdhxkhw/edit?usp=sharing"",""ตราด!M431"")"),0.0)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IFERROR(__xludf.DUMMYFUNCTION("IMPORTRANGE(""https://docs.google.com/spreadsheets/d/1SX6NBoVAgQJ6U1MVXOaj8PK2l7WJ3RER9xtqwdhxkhw/edit?usp=sharing"",""ตราด!L432"")"),34340.0)</f>
        <v>34340</v>
      </c>
      <c r="M537" s="203"/>
      <c r="N537" s="203">
        <f>IFERROR(__xludf.DUMMYFUNCTION("IMPORTRANGE(""https://docs.google.com/spreadsheets/d/1SX6NBoVAgQJ6U1MVXOaj8PK2l7WJ3RER9xtqwdhxkhw/edit?usp=sharing"",""ตราด!M432"")"),23174.0)</f>
        <v>23174</v>
      </c>
      <c r="O537" s="203">
        <f t="shared" si="119"/>
        <v>67.48398369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IFERROR(__xludf.DUMMYFUNCTION("IMPORTRANGE(""https://docs.google.com/spreadsheets/d/1SX6NBoVAgQJ6U1MVXOaj8PK2l7WJ3RER9xtqwdhxkhw/edit?usp=sharing"",""ตราด!M433"")"),16828.0)</f>
        <v>16828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IFERROR(__xludf.DUMMYFUNCTION("IMPORTRANGE(""https://docs.google.com/spreadsheets/d/1SX6NBoVAgQJ6U1MVXOaj8PK2l7WJ3RER9xtqwdhxkhw/edit?usp=sharing"",""ตราด!M434"")"),0.0)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IFERROR(__xludf.DUMMYFUNCTION("IMPORTRANGE(""https://docs.google.com/spreadsheets/d/1SX6NBoVAgQJ6U1MVXOaj8PK2l7WJ3RER9xtqwdhxkhw/edit?usp=sharing"",""ตราด!M435"")"),0.0)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IFERROR(__xludf.DUMMYFUNCTION("IMPORTRANGE(""https://docs.google.com/spreadsheets/d/1SX6NBoVAgQJ6U1MVXOaj8PK2l7WJ3RER9xtqwdhxkhw/edit?usp=sharing"",""ตราด!M436"")"),6346.0)</f>
        <v>6346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IFERROR(__xludf.DUMMYFUNCTION("IMPORTRANGE(""https://docs.google.com/spreadsheets/d/1SX6NBoVAgQJ6U1MVXOaj8PK2l7WJ3RER9xtqwdhxkhw/edit?usp=sharing"",""ตราด!J438"")"),0.0)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IFERROR(__xludf.DUMMYFUNCTION("IMPORTRANGE(""https://docs.google.com/spreadsheets/d/1SX6NBoVAgQJ6U1MVXOaj8PK2l7WJ3RER9xtqwdhxkhw/edit?usp=sharing"",""ตราด!J439"")"),1.0)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IFERROR(__xludf.DUMMYFUNCTION("IMPORTRANGE(""https://docs.google.com/spreadsheets/d/1SX6NBoVAgQJ6U1MVXOaj8PK2l7WJ3RER9xtqwdhxkhw/edit?usp=sharing"",""ตราด!J440"")"),1.0)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IFERROR(__xludf.DUMMYFUNCTION("IMPORTRANGE(""https://docs.google.com/spreadsheets/d/1SX6NBoVAgQJ6U1MVXOaj8PK2l7WJ3RER9xtqwdhxkhw/edit?usp=sharing"",""ตราด!J441"")"),1.0)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IFERROR(__xludf.DUMMYFUNCTION("IMPORTRANGE(""https://docs.google.com/spreadsheets/d/1SX6NBoVAgQJ6U1MVXOaj8PK2l7WJ3RER9xtqwdhxkhw/edit?usp=sharing"",""ตราด!I442"")"),22.0)</f>
        <v>22</v>
      </c>
      <c r="J547" s="223">
        <f>IFERROR(__xludf.DUMMYFUNCTION("IMPORTRANGE(""https://docs.google.com/spreadsheets/d/1SX6NBoVAgQJ6U1MVXOaj8PK2l7WJ3RER9xtqwdhxkhw/edit?usp=sharing"",""ตราด!J442"")"),22.0)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IFERROR(__xludf.DUMMYFUNCTION("IMPORTRANGE(""https://docs.google.com/spreadsheets/d/1SX6NBoVAgQJ6U1MVXOaj8PK2l7WJ3RER9xtqwdhxkhw/edit?usp=sharing"",""ตราด!J166"")"),0.0)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IFERROR(__xludf.DUMMYFUNCTION("IMPORTRANGE(""https://docs.google.com/spreadsheets/d/1SX6NBoVAgQJ6U1MVXOaj8PK2l7WJ3RER9xtqwdhxkhw/edit?usp=sharing"",""ตราด!J444"")"),0.0)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IFERROR(__xludf.DUMMYFUNCTION("IMPORTRANGE(""https://docs.google.com/spreadsheets/d/1SX6NBoVAgQJ6U1MVXOaj8PK2l7WJ3RER9xtqwdhxkhw/edit?usp=sharing"",""ตราด!J445"")"),0.0)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IFERROR(__xludf.DUMMYFUNCTION("IMPORTRANGE(""https://docs.google.com/spreadsheets/d/1SX6NBoVAgQJ6U1MVXOaj8PK2l7WJ3RER9xtqwdhxkhw/edit?usp=sharing"",""ตราด!I446"")"),0.0)</f>
        <v>0</v>
      </c>
      <c r="J551" s="443">
        <f>IFERROR(__xludf.DUMMYFUNCTION("IMPORTRANGE(""https://docs.google.com/spreadsheets/d/1SX6NBoVAgQJ6U1MVXOaj8PK2l7WJ3RER9xtqwdhxkhw/edit?usp=sharing"",""ตราด!J446"")"),0.0)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IFERROR(__xludf.DUMMYFUNCTION("IMPORTRANGE(""https://docs.google.com/spreadsheets/d/1SX6NBoVAgQJ6U1MVXOaj8PK2l7WJ3RER9xtqwdhxkhw/edit?usp=sharing"",""ตราด!L446"")"),0.0)</f>
        <v>0</v>
      </c>
      <c r="M551" s="445"/>
      <c r="N551" s="445">
        <f>IFERROR(__xludf.DUMMYFUNCTION("IMPORTRANGE(""https://docs.google.com/spreadsheets/d/1SX6NBoVAgQJ6U1MVXOaj8PK2l7WJ3RER9xtqwdhxkhw/edit?usp=sharing"",""ตราด!M446"")"),0.0)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IFERROR(__xludf.DUMMYFUNCTION("IMPORTRANGE(""https://docs.google.com/spreadsheets/d/1SX6NBoVAgQJ6U1MVXOaj8PK2l7WJ3RER9xtqwdhxkhw/edit?usp=sharing"",""ตราด!L447"")"),0.0)</f>
        <v>0</v>
      </c>
      <c r="M552" s="197"/>
      <c r="N552" s="203">
        <f>IFERROR(__xludf.DUMMYFUNCTION("IMPORTRANGE(""https://docs.google.com/spreadsheets/d/1SX6NBoVAgQJ6U1MVXOaj8PK2l7WJ3RER9xtqwdhxkhw/edit?usp=sharing"",""ตราด!M447"")"),0.0)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IFERROR(__xludf.DUMMYFUNCTION("IMPORTRANGE(""https://docs.google.com/spreadsheets/d/1SX6NBoVAgQJ6U1MVXOaj8PK2l7WJ3RER9xtqwdhxkhw/edit?usp=sharing"",""ตราด!L448"")"),0.0)</f>
        <v>0</v>
      </c>
      <c r="M553" s="198"/>
      <c r="N553" s="203">
        <f>IFERROR(__xludf.DUMMYFUNCTION("IMPORTRANGE(""https://docs.google.com/spreadsheets/d/1SX6NBoVAgQJ6U1MVXOaj8PK2l7WJ3RER9xtqwdhxkhw/edit?usp=sharing"",""ตราด!M448"")"),0.0)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IFERROR(__xludf.DUMMYFUNCTION("IMPORTRANGE(""https://docs.google.com/spreadsheets/d/1SX6NBoVAgQJ6U1MVXOaj8PK2l7WJ3RER9xtqwdhxkhw/edit?usp=sharing"",""ตราด!L449"")"),0.0)</f>
        <v>0</v>
      </c>
      <c r="M554" s="203"/>
      <c r="N554" s="203">
        <f>IFERROR(__xludf.DUMMYFUNCTION("IMPORTRANGE(""https://docs.google.com/spreadsheets/d/1SX6NBoVAgQJ6U1MVXOaj8PK2l7WJ3RER9xtqwdhxkhw/edit?usp=sharing"",""ตราด!M449"")"),0.0)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IFERROR(__xludf.DUMMYFUNCTION("IMPORTRANGE(""https://docs.google.com/spreadsheets/d/1SX6NBoVAgQJ6U1MVXOaj8PK2l7WJ3RER9xtqwdhxkhw/edit?usp=sharing"",""ตราด!L450"")"),0.0)</f>
        <v>0</v>
      </c>
      <c r="M555" s="203"/>
      <c r="N555" s="203">
        <f>IFERROR(__xludf.DUMMYFUNCTION("IMPORTRANGE(""https://docs.google.com/spreadsheets/d/1SX6NBoVAgQJ6U1MVXOaj8PK2l7WJ3RER9xtqwdhxkhw/edit?usp=sharing"",""ตราด!M450"")"),0.0)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IFERROR(__xludf.DUMMYFUNCTION("IMPORTRANGE(""https://docs.google.com/spreadsheets/d/1SX6NBoVAgQJ6U1MVXOaj8PK2l7WJ3RER9xtqwdhxkhw/edit?usp=sharing"",""ตราด!M451"")"),0.0)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IFERROR(__xludf.DUMMYFUNCTION("IMPORTRANGE(""https://docs.google.com/spreadsheets/d/1SX6NBoVAgQJ6U1MVXOaj8PK2l7WJ3RER9xtqwdhxkhw/edit?usp=sharing"",""ตราด!M452"")"),0.0)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IFERROR(__xludf.DUMMYFUNCTION("IMPORTRANGE(""https://docs.google.com/spreadsheets/d/1SX6NBoVAgQJ6U1MVXOaj8PK2l7WJ3RER9xtqwdhxkhw/edit?usp=sharing"",""ตราด!M453"")"),0.0)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IFERROR(__xludf.DUMMYFUNCTION("IMPORTRANGE(""https://docs.google.com/spreadsheets/d/1SX6NBoVAgQJ6U1MVXOaj8PK2l7WJ3RER9xtqwdhxkhw/edit?usp=sharing"",""ตราด!M454"")"),0.0)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IFERROR(__xludf.DUMMYFUNCTION("IMPORTRANGE(""https://docs.google.com/spreadsheets/d/1SX6NBoVAgQJ6U1MVXOaj8PK2l7WJ3RER9xtqwdhxkhw/edit?usp=sharing"",""ตราด!I455"")"),0.0)</f>
        <v>0</v>
      </c>
      <c r="J560" s="195">
        <f>IFERROR(__xludf.DUMMYFUNCTION("IMPORTRANGE(""https://docs.google.com/spreadsheets/d/1SX6NBoVAgQJ6U1MVXOaj8PK2l7WJ3RER9xtqwdhxkhw/edit?usp=sharing"",""ตราด!J455"")"),0.0)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IFERROR(__xludf.DUMMYFUNCTION("IMPORTRANGE(""https://docs.google.com/spreadsheets/d/1SX6NBoVAgQJ6U1MVXOaj8PK2l7WJ3RER9xtqwdhxkhw/edit?usp=sharing"",""ตราด!I456"")"),0.0)</f>
        <v>0</v>
      </c>
      <c r="J561" s="238">
        <f>IFERROR(__xludf.DUMMYFUNCTION("IMPORTRANGE(""https://docs.google.com/spreadsheets/d/1SX6NBoVAgQJ6U1MVXOaj8PK2l7WJ3RER9xtqwdhxkhw/edit?usp=sharing"",""ตราด!J456"")"),0.0)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IFERROR(__xludf.DUMMYFUNCTION("IMPORTRANGE(""https://docs.google.com/spreadsheets/d/1SX6NBoVAgQJ6U1MVXOaj8PK2l7WJ3RER9xtqwdhxkhw/edit?usp=sharing"",""ตราด!I457"")"),"")</f>
        <v/>
      </c>
      <c r="J562" s="238" t="str">
        <f>IFERROR(__xludf.DUMMYFUNCTION("IMPORTRANGE(""https://docs.google.com/spreadsheets/d/1SX6NBoVAgQJ6U1MVXOaj8PK2l7WJ3RER9xtqwdhxkhw/edit?usp=sharing"",""ตราด!J457"")"),"")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IFERROR(__xludf.DUMMYFUNCTION("IMPORTRANGE(""https://docs.google.com/spreadsheets/d/1SX6NBoVAgQJ6U1MVXOaj8PK2l7WJ3RER9xtqwdhxkhw/edit?usp=sharing"",""ตราด!I458"")"),"")</f>
        <v/>
      </c>
      <c r="J563" s="222" t="str">
        <f>IFERROR(__xludf.DUMMYFUNCTION("IMPORTRANGE(""https://docs.google.com/spreadsheets/d/1SX6NBoVAgQJ6U1MVXOaj8PK2l7WJ3RER9xtqwdhxkhw/edit?usp=sharing"",""ตราด!J458"")"),"")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IFERROR(__xludf.DUMMYFUNCTION("IMPORTRANGE(""https://docs.google.com/spreadsheets/d/1SX6NBoVAgQJ6U1MVXOaj8PK2l7WJ3RER9xtqwdhxkhw/edit?usp=sharing"",""ตราด!I459"")"),700.0)</f>
        <v>700</v>
      </c>
      <c r="J564" s="404">
        <f>IFERROR(__xludf.DUMMYFUNCTION("IMPORTRANGE(""https://docs.google.com/spreadsheets/d/1SX6NBoVAgQJ6U1MVXOaj8PK2l7WJ3RER9xtqwdhxkhw/edit?usp=sharing"",""ตราด!J459"")"),285.0)</f>
        <v>285</v>
      </c>
      <c r="K564" s="405">
        <f t="shared" si="122"/>
        <v>40.71428571</v>
      </c>
      <c r="L564" s="406">
        <f>IFERROR(__xludf.DUMMYFUNCTION("IMPORTRANGE(""https://docs.google.com/spreadsheets/d/1SX6NBoVAgQJ6U1MVXOaj8PK2l7WJ3RER9xtqwdhxkhw/edit?usp=sharing"",""ตราด!L459"")"),120720.0)</f>
        <v>120720</v>
      </c>
      <c r="M564" s="406"/>
      <c r="N564" s="406">
        <f>IFERROR(__xludf.DUMMYFUNCTION("IMPORTRANGE(""https://docs.google.com/spreadsheets/d/1SX6NBoVAgQJ6U1MVXOaj8PK2l7WJ3RER9xtqwdhxkhw/edit?usp=sharing"",""ตราด!M459"")"),16635.0)</f>
        <v>16635</v>
      </c>
      <c r="O564" s="406">
        <f t="shared" ref="O564:O568" si="123">+IF(L564&gt;0,N564*100/L564,0)</f>
        <v>13.77982107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IFERROR(__xludf.DUMMYFUNCTION("IMPORTRANGE(""https://docs.google.com/spreadsheets/d/1SX6NBoVAgQJ6U1MVXOaj8PK2l7WJ3RER9xtqwdhxkhw/edit?usp=sharing"",""ตราด!L460"")"),0.0)</f>
        <v>0</v>
      </c>
      <c r="M565" s="197"/>
      <c r="N565" s="203">
        <f>IFERROR(__xludf.DUMMYFUNCTION("IMPORTRANGE(""https://docs.google.com/spreadsheets/d/1SX6NBoVAgQJ6U1MVXOaj8PK2l7WJ3RER9xtqwdhxkhw/edit?usp=sharing"",""ตราด!M460"")"),0.0)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IFERROR(__xludf.DUMMYFUNCTION("IMPORTRANGE(""https://docs.google.com/spreadsheets/d/1SX6NBoVAgQJ6U1MVXOaj8PK2l7WJ3RER9xtqwdhxkhw/edit?usp=sharing"",""ตราด!L461"")"),120720.0)</f>
        <v>120720</v>
      </c>
      <c r="M566" s="198"/>
      <c r="N566" s="203">
        <f>IFERROR(__xludf.DUMMYFUNCTION("IMPORTRANGE(""https://docs.google.com/spreadsheets/d/1SX6NBoVAgQJ6U1MVXOaj8PK2l7WJ3RER9xtqwdhxkhw/edit?usp=sharing"",""ตราด!M461"")"),16635.0)</f>
        <v>16635</v>
      </c>
      <c r="O566" s="203">
        <f t="shared" si="123"/>
        <v>13.77982107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IFERROR(__xludf.DUMMYFUNCTION("IMPORTRANGE(""https://docs.google.com/spreadsheets/d/1SX6NBoVAgQJ6U1MVXOaj8PK2l7WJ3RER9xtqwdhxkhw/edit?usp=sharing"",""ตราด!L462"")"),0.0)</f>
        <v>0</v>
      </c>
      <c r="M567" s="203"/>
      <c r="N567" s="203">
        <f>IFERROR(__xludf.DUMMYFUNCTION("IMPORTRANGE(""https://docs.google.com/spreadsheets/d/1SX6NBoVAgQJ6U1MVXOaj8PK2l7WJ3RER9xtqwdhxkhw/edit?usp=sharing"",""ตราด!M462"")"),0.0)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IFERROR(__xludf.DUMMYFUNCTION("IMPORTRANGE(""https://docs.google.com/spreadsheets/d/1SX6NBoVAgQJ6U1MVXOaj8PK2l7WJ3RER9xtqwdhxkhw/edit?usp=sharing"",""ตราด!L463"")"),120720.0)</f>
        <v>120720</v>
      </c>
      <c r="M568" s="203"/>
      <c r="N568" s="203">
        <f>IFERROR(__xludf.DUMMYFUNCTION("IMPORTRANGE(""https://docs.google.com/spreadsheets/d/1SX6NBoVAgQJ6U1MVXOaj8PK2l7WJ3RER9xtqwdhxkhw/edit?usp=sharing"",""ตราด!M463"")"),16635.0)</f>
        <v>16635</v>
      </c>
      <c r="O568" s="203">
        <f t="shared" si="123"/>
        <v>13.77982107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IFERROR(__xludf.DUMMYFUNCTION("IMPORTRANGE(""https://docs.google.com/spreadsheets/d/1SX6NBoVAgQJ6U1MVXOaj8PK2l7WJ3RER9xtqwdhxkhw/edit?usp=sharing"",""ตราด!M464"")"),0.0)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IFERROR(__xludf.DUMMYFUNCTION("IMPORTRANGE(""https://docs.google.com/spreadsheets/d/1SX6NBoVAgQJ6U1MVXOaj8PK2l7WJ3RER9xtqwdhxkhw/edit?usp=sharing"",""ตราด!M465"")"),0.0)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IFERROR(__xludf.DUMMYFUNCTION("IMPORTRANGE(""https://docs.google.com/spreadsheets/d/1SX6NBoVAgQJ6U1MVXOaj8PK2l7WJ3RER9xtqwdhxkhw/edit?usp=sharing"",""ตราด!M466"")"),16635.0)</f>
        <v>16635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IFERROR(__xludf.DUMMYFUNCTION("IMPORTRANGE(""https://docs.google.com/spreadsheets/d/1SX6NBoVAgQJ6U1MVXOaj8PK2l7WJ3RER9xtqwdhxkhw/edit?usp=sharing"",""ตราด!M467"")"),0.0)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IFERROR(__xludf.DUMMYFUNCTION("IMPORTRANGE(""https://docs.google.com/spreadsheets/d/1SX6NBoVAgQJ6U1MVXOaj8PK2l7WJ3RER9xtqwdhxkhw/edit?usp=sharing"",""ตราด!I468"")"),700.0)</f>
        <v>700</v>
      </c>
      <c r="J573" s="453">
        <f>IFERROR(__xludf.DUMMYFUNCTION("IMPORTRANGE(""https://docs.google.com/spreadsheets/d/1SX6NBoVAgQJ6U1MVXOaj8PK2l7WJ3RER9xtqwdhxkhw/edit?usp=sharing"",""ตราด!J468"")"),285.0)</f>
        <v>285</v>
      </c>
      <c r="K573" s="236">
        <f>IF(I573&gt;0,J573*100/I573,0)</f>
        <v>40.71428571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IFERROR(__xludf.DUMMYFUNCTION("IMPORTRANGE(""https://docs.google.com/spreadsheets/d/1SX6NBoVAgQJ6U1MVXOaj8PK2l7WJ3RER9xtqwdhxkhw/edit?usp=sharing"",""ตราด!I470"")"),0.0)</f>
        <v>0</v>
      </c>
      <c r="J575" s="232">
        <f>IFERROR(__xludf.DUMMYFUNCTION("IMPORTRANGE(""https://docs.google.com/spreadsheets/d/1SX6NBoVAgQJ6U1MVXOaj8PK2l7WJ3RER9xtqwdhxkhw/edit?usp=sharing"",""ตราด!J470"")"),0.0)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IFERROR(__xludf.DUMMYFUNCTION("IMPORTRANGE(""https://docs.google.com/spreadsheets/d/1SX6NBoVAgQJ6U1MVXOaj8PK2l7WJ3RER9xtqwdhxkhw/edit?usp=sharing"",""ตราด!I471"")"),0.0)</f>
        <v>0</v>
      </c>
      <c r="J576" s="232">
        <f>IFERROR(__xludf.DUMMYFUNCTION("IMPORTRANGE(""https://docs.google.com/spreadsheets/d/1SX6NBoVAgQJ6U1MVXOaj8PK2l7WJ3RER9xtqwdhxkhw/edit?usp=sharing"",""ตราด!J471"")"),0.0)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IFERROR(__xludf.DUMMYFUNCTION("IMPORTRANGE(""https://docs.google.com/spreadsheets/d/1SX6NBoVAgQJ6U1MVXOaj8PK2l7WJ3RER9xtqwdhxkhw/edit?usp=sharing"",""ตราด!I472"")"),0.0)</f>
        <v>0</v>
      </c>
      <c r="J577" s="223">
        <f>IFERROR(__xludf.DUMMYFUNCTION("IMPORTRANGE(""https://docs.google.com/spreadsheets/d/1SX6NBoVAgQJ6U1MVXOaj8PK2l7WJ3RER9xtqwdhxkhw/edit?usp=sharing"",""ตราด!J472"")"),285.0)</f>
        <v>285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IFERROR(__xludf.DUMMYFUNCTION("IMPORTRANGE(""https://docs.google.com/spreadsheets/d/1SX6NBoVAgQJ6U1MVXOaj8PK2l7WJ3RER9xtqwdhxkhw/edit?usp=sharing"",""ตราด!I473"")"),0.0)</f>
        <v>0</v>
      </c>
      <c r="J578" s="232">
        <f>IFERROR(__xludf.DUMMYFUNCTION("IMPORTRANGE(""https://docs.google.com/spreadsheets/d/1SX6NBoVAgQJ6U1MVXOaj8PK2l7WJ3RER9xtqwdhxkhw/edit?usp=sharing"",""ตราด!J473"")"),0.0)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IFERROR(__xludf.DUMMYFUNCTION("IMPORTRANGE(""https://docs.google.com/spreadsheets/d/1SX6NBoVAgQJ6U1MVXOaj8PK2l7WJ3RER9xtqwdhxkhw/edit?usp=sharing"",""ตราด!I474"")"),0.0)</f>
        <v>0</v>
      </c>
      <c r="J579" s="232">
        <f>IFERROR(__xludf.DUMMYFUNCTION("IMPORTRANGE(""https://docs.google.com/spreadsheets/d/1SX6NBoVAgQJ6U1MVXOaj8PK2l7WJ3RER9xtqwdhxkhw/edit?usp=sharing"",""ตราด!J474"")"),0.0)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IFERROR(__xludf.DUMMYFUNCTION("IMPORTRANGE(""https://docs.google.com/spreadsheets/d/1SX6NBoVAgQJ6U1MVXOaj8PK2l7WJ3RER9xtqwdhxkhw/edit?usp=sharing"",""ตราด!I475"")"),0.0)</f>
        <v>0</v>
      </c>
      <c r="J580" s="404">
        <f>IFERROR(__xludf.DUMMYFUNCTION("IMPORTRANGE(""https://docs.google.com/spreadsheets/d/1SX6NBoVAgQJ6U1MVXOaj8PK2l7WJ3RER9xtqwdhxkhw/edit?usp=sharing"",""ตราด!J475"")"),0.0)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IFERROR(__xludf.DUMMYFUNCTION("IMPORTRANGE(""https://docs.google.com/spreadsheets/d/1SX6NBoVAgQJ6U1MVXOaj8PK2l7WJ3RER9xtqwdhxkhw/edit?usp=sharing"",""ตราด!L475"")"),0.0)</f>
        <v>0</v>
      </c>
      <c r="M580" s="406"/>
      <c r="N580" s="406">
        <f>IFERROR(__xludf.DUMMYFUNCTION("IMPORTRANGE(""https://docs.google.com/spreadsheets/d/1SX6NBoVAgQJ6U1MVXOaj8PK2l7WJ3RER9xtqwdhxkhw/edit?usp=sharing"",""ตราด!M475"")"),0.0)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IFERROR(__xludf.DUMMYFUNCTION("IMPORTRANGE(""https://docs.google.com/spreadsheets/d/1SX6NBoVAgQJ6U1MVXOaj8PK2l7WJ3RER9xtqwdhxkhw/edit?usp=sharing"",""ตราด!L476"")"),0.0)</f>
        <v>0</v>
      </c>
      <c r="M581" s="197"/>
      <c r="N581" s="203">
        <f>IFERROR(__xludf.DUMMYFUNCTION("IMPORTRANGE(""https://docs.google.com/spreadsheets/d/1SX6NBoVAgQJ6U1MVXOaj8PK2l7WJ3RER9xtqwdhxkhw/edit?usp=sharing"",""ตราด!M476"")"),0.0)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IFERROR(__xludf.DUMMYFUNCTION("IMPORTRANGE(""https://docs.google.com/spreadsheets/d/1SX6NBoVAgQJ6U1MVXOaj8PK2l7WJ3RER9xtqwdhxkhw/edit?usp=sharing"",""ตราด!L477"")"),0.0)</f>
        <v>0</v>
      </c>
      <c r="M582" s="198"/>
      <c r="N582" s="203">
        <f>IFERROR(__xludf.DUMMYFUNCTION("IMPORTRANGE(""https://docs.google.com/spreadsheets/d/1SX6NBoVAgQJ6U1MVXOaj8PK2l7WJ3RER9xtqwdhxkhw/edit?usp=sharing"",""ตราด!M477"")"),0.0)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IFERROR(__xludf.DUMMYFUNCTION("IMPORTRANGE(""https://docs.google.com/spreadsheets/d/1SX6NBoVAgQJ6U1MVXOaj8PK2l7WJ3RER9xtqwdhxkhw/edit?usp=sharing"",""ตราด!L478"")"),0.0)</f>
        <v>0</v>
      </c>
      <c r="M583" s="203"/>
      <c r="N583" s="203">
        <f>IFERROR(__xludf.DUMMYFUNCTION("IMPORTRANGE(""https://docs.google.com/spreadsheets/d/1SX6NBoVAgQJ6U1MVXOaj8PK2l7WJ3RER9xtqwdhxkhw/edit?usp=sharing"",""ตราด!M478"")"),0.0)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IFERROR(__xludf.DUMMYFUNCTION("IMPORTRANGE(""https://docs.google.com/spreadsheets/d/1SX6NBoVAgQJ6U1MVXOaj8PK2l7WJ3RER9xtqwdhxkhw/edit?usp=sharing"",""ตราด!L479"")"),0.0)</f>
        <v>0</v>
      </c>
      <c r="M584" s="203"/>
      <c r="N584" s="203">
        <f>IFERROR(__xludf.DUMMYFUNCTION("IMPORTRANGE(""https://docs.google.com/spreadsheets/d/1SX6NBoVAgQJ6U1MVXOaj8PK2l7WJ3RER9xtqwdhxkhw/edit?usp=sharing"",""ตราด!M479"")"),0.0)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IFERROR(__xludf.DUMMYFUNCTION("IMPORTRANGE(""https://docs.google.com/spreadsheets/d/1SX6NBoVAgQJ6U1MVXOaj8PK2l7WJ3RER9xtqwdhxkhw/edit?usp=sharing"",""ตราด!M480"")"),0.0)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IFERROR(__xludf.DUMMYFUNCTION("IMPORTRANGE(""https://docs.google.com/spreadsheets/d/1SX6NBoVAgQJ6U1MVXOaj8PK2l7WJ3RER9xtqwdhxkhw/edit?usp=sharing"",""ตราด!M481"")"),0.0)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IFERROR(__xludf.DUMMYFUNCTION("IMPORTRANGE(""https://docs.google.com/spreadsheets/d/1SX6NBoVAgQJ6U1MVXOaj8PK2l7WJ3RER9xtqwdhxkhw/edit?usp=sharing"",""ตราด!M482"")"),0.0)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IFERROR(__xludf.DUMMYFUNCTION("IMPORTRANGE(""https://docs.google.com/spreadsheets/d/1SX6NBoVAgQJ6U1MVXOaj8PK2l7WJ3RER9xtqwdhxkhw/edit?usp=sharing"",""ตราด!M483"")"),0.0)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IFERROR(__xludf.DUMMYFUNCTION("IMPORTRANGE(""https://docs.google.com/spreadsheets/d/1SX6NBoVAgQJ6U1MVXOaj8PK2l7WJ3RER9xtqwdhxkhw/edit?usp=sharing"",""ตราด!I484"")"),0.0)</f>
        <v>0</v>
      </c>
      <c r="J589" s="222">
        <f>IFERROR(__xludf.DUMMYFUNCTION("IMPORTRANGE(""https://docs.google.com/spreadsheets/d/1SX6NBoVAgQJ6U1MVXOaj8PK2l7WJ3RER9xtqwdhxkhw/edit?usp=sharing"",""ตราด!J484"")"),0.0)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IFERROR(__xludf.DUMMYFUNCTION("IMPORTRANGE(""https://docs.google.com/spreadsheets/d/1SX6NBoVAgQJ6U1MVXOaj8PK2l7WJ3RER9xtqwdhxkhw/edit?usp=sharing"",""ตราด!I485"")"),0.0)</f>
        <v>0</v>
      </c>
      <c r="J590" s="222">
        <f>IFERROR(__xludf.DUMMYFUNCTION("IMPORTRANGE(""https://docs.google.com/spreadsheets/d/1SX6NBoVAgQJ6U1MVXOaj8PK2l7WJ3RER9xtqwdhxkhw/edit?usp=sharing"",""ตราด!J485"")"),0.0)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IFERROR(__xludf.DUMMYFUNCTION("IMPORTRANGE(""https://docs.google.com/spreadsheets/d/1SX6NBoVAgQJ6U1MVXOaj8PK2l7WJ3RER9xtqwdhxkhw/edit?usp=sharing"",""ตราด!I486"")"),0.0)</f>
        <v>0</v>
      </c>
      <c r="J591" s="222">
        <f>IFERROR(__xludf.DUMMYFUNCTION("IMPORTRANGE(""https://docs.google.com/spreadsheets/d/1SX6NBoVAgQJ6U1MVXOaj8PK2l7WJ3RER9xtqwdhxkhw/edit?usp=sharing"",""ตราด!J486"")"),0.0)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IFERROR(__xludf.DUMMYFUNCTION("IMPORTRANGE(""https://docs.google.com/spreadsheets/d/1SX6NBoVAgQJ6U1MVXOaj8PK2l7WJ3RER9xtqwdhxkhw/edit?usp=sharing"",""ตราด!I487"")"),0.0)</f>
        <v>0</v>
      </c>
      <c r="J592" s="222">
        <f>IFERROR(__xludf.DUMMYFUNCTION("IMPORTRANGE(""https://docs.google.com/spreadsheets/d/1SX6NBoVAgQJ6U1MVXOaj8PK2l7WJ3RER9xtqwdhxkhw/edit?usp=sharing"",""ตราด!J487"")"),0.0)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IFERROR(__xludf.DUMMYFUNCTION("IMPORTRANGE(""https://docs.google.com/spreadsheets/d/1SX6NBoVAgQJ6U1MVXOaj8PK2l7WJ3RER9xtqwdhxkhw/edit?usp=sharing"",""ตราด!I488"")"),0.0)</f>
        <v>0</v>
      </c>
      <c r="J593" s="222">
        <f>IFERROR(__xludf.DUMMYFUNCTION("IMPORTRANGE(""https://docs.google.com/spreadsheets/d/1SX6NBoVAgQJ6U1MVXOaj8PK2l7WJ3RER9xtqwdhxkhw/edit?usp=sharing"",""ตราด!J488"")"),0.0)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IFERROR(__xludf.DUMMYFUNCTION("IMPORTRANGE(""https://docs.google.com/spreadsheets/d/1SX6NBoVAgQJ6U1MVXOaj8PK2l7WJ3RER9xtqwdhxkhw/edit?usp=sharing"",""ตราด!I489"")"),0.0)</f>
        <v>0</v>
      </c>
      <c r="J594" s="222">
        <f>IFERROR(__xludf.DUMMYFUNCTION("IMPORTRANGE(""https://docs.google.com/spreadsheets/d/1SX6NBoVAgQJ6U1MVXOaj8PK2l7WJ3RER9xtqwdhxkhw/edit?usp=sharing"",""ตราด!J489"")"),0.0)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IFERROR(__xludf.DUMMYFUNCTION("IMPORTRANGE(""https://docs.google.com/spreadsheets/d/1SX6NBoVAgQJ6U1MVXOaj8PK2l7WJ3RER9xtqwdhxkhw/edit?usp=sharing"",""ตราด!I490"")"),0.0)</f>
        <v>0</v>
      </c>
      <c r="J595" s="222">
        <f>IFERROR(__xludf.DUMMYFUNCTION("IMPORTRANGE(""https://docs.google.com/spreadsheets/d/1SX6NBoVAgQJ6U1MVXOaj8PK2l7WJ3RER9xtqwdhxkhw/edit?usp=sharing"",""ตราด!J490"")"),0.0)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IFERROR(__xludf.DUMMYFUNCTION("IMPORTRANGE(""https://docs.google.com/spreadsheets/d/1SX6NBoVAgQJ6U1MVXOaj8PK2l7WJ3RER9xtqwdhxkhw/edit?usp=sharing"",""ตราด!I491"")"),0.0)</f>
        <v>0</v>
      </c>
      <c r="J596" s="275">
        <f>IFERROR(__xludf.DUMMYFUNCTION("IMPORTRANGE(""https://docs.google.com/spreadsheets/d/1SX6NBoVAgQJ6U1MVXOaj8PK2l7WJ3RER9xtqwdhxkhw/edit?usp=sharing"",""ตราด!J491"")"),0.0)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IFERROR(__xludf.DUMMYFUNCTION("IMPORTRANGE(""https://docs.google.com/spreadsheets/d/1SX6NBoVAgQJ6U1MVXOaj8PK2l7WJ3RER9xtqwdhxkhw/edit?usp=sharing"",""ตราด!I492"")"),50.0)</f>
        <v>50</v>
      </c>
      <c r="J597" s="520">
        <f>IFERROR(__xludf.DUMMYFUNCTION("IMPORTRANGE(""https://docs.google.com/spreadsheets/d/1SX6NBoVAgQJ6U1MVXOaj8PK2l7WJ3RER9xtqwdhxkhw/edit?usp=sharing"",""ตราด!J492"")"),0.0)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IFERROR(__xludf.DUMMYFUNCTION("IMPORTRANGE(""https://docs.google.com/spreadsheets/d/1SX6NBoVAgQJ6U1MVXOaj8PK2l7WJ3RER9xtqwdhxkhw/edit?usp=sharing"",""ตราด!L492"")"),6150.0)</f>
        <v>6150</v>
      </c>
      <c r="M597" s="445"/>
      <c r="N597" s="445">
        <f>IFERROR(__xludf.DUMMYFUNCTION("IMPORTRANGE(""https://docs.google.com/spreadsheets/d/1SX6NBoVAgQJ6U1MVXOaj8PK2l7WJ3RER9xtqwdhxkhw/edit?usp=sharing"",""ตราด!M492"")"),3400.0)</f>
        <v>3400</v>
      </c>
      <c r="O597" s="445">
        <f t="shared" ref="O597:O601" si="127">+IF(L597&gt;0,N597*100/L597,0)</f>
        <v>55.28455285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IFERROR(__xludf.DUMMYFUNCTION("IMPORTRANGE(""https://docs.google.com/spreadsheets/d/1SX6NBoVAgQJ6U1MVXOaj8PK2l7WJ3RER9xtqwdhxkhw/edit?usp=sharing"",""ตราด!L493"")"),0.0)</f>
        <v>0</v>
      </c>
      <c r="M598" s="197"/>
      <c r="N598" s="203">
        <f>IFERROR(__xludf.DUMMYFUNCTION("IMPORTRANGE(""https://docs.google.com/spreadsheets/d/1SX6NBoVAgQJ6U1MVXOaj8PK2l7WJ3RER9xtqwdhxkhw/edit?usp=sharing"",""ตราด!M493"")"),0.0)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IFERROR(__xludf.DUMMYFUNCTION("IMPORTRANGE(""https://docs.google.com/spreadsheets/d/1SX6NBoVAgQJ6U1MVXOaj8PK2l7WJ3RER9xtqwdhxkhw/edit?usp=sharing"",""ตราด!L494"")"),6150.0)</f>
        <v>6150</v>
      </c>
      <c r="M599" s="198"/>
      <c r="N599" s="203">
        <f>IFERROR(__xludf.DUMMYFUNCTION("IMPORTRANGE(""https://docs.google.com/spreadsheets/d/1SX6NBoVAgQJ6U1MVXOaj8PK2l7WJ3RER9xtqwdhxkhw/edit?usp=sharing"",""ตราด!M494"")"),3400.0)</f>
        <v>3400</v>
      </c>
      <c r="O599" s="203">
        <f t="shared" si="127"/>
        <v>55.28455285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IFERROR(__xludf.DUMMYFUNCTION("IMPORTRANGE(""https://docs.google.com/spreadsheets/d/1SX6NBoVAgQJ6U1MVXOaj8PK2l7WJ3RER9xtqwdhxkhw/edit?usp=sharing"",""ตราด!L495"")"),0.0)</f>
        <v>0</v>
      </c>
      <c r="M600" s="203"/>
      <c r="N600" s="203">
        <f>IFERROR(__xludf.DUMMYFUNCTION("IMPORTRANGE(""https://docs.google.com/spreadsheets/d/1SX6NBoVAgQJ6U1MVXOaj8PK2l7WJ3RER9xtqwdhxkhw/edit?usp=sharing"",""ตราด!M495"")"),0.0)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IFERROR(__xludf.DUMMYFUNCTION("IMPORTRANGE(""https://docs.google.com/spreadsheets/d/1SX6NBoVAgQJ6U1MVXOaj8PK2l7WJ3RER9xtqwdhxkhw/edit?usp=sharing"",""ตราด!L496"")"),6150.0)</f>
        <v>6150</v>
      </c>
      <c r="M601" s="203"/>
      <c r="N601" s="203">
        <f>IFERROR(__xludf.DUMMYFUNCTION("IMPORTRANGE(""https://docs.google.com/spreadsheets/d/1SX6NBoVAgQJ6U1MVXOaj8PK2l7WJ3RER9xtqwdhxkhw/edit?usp=sharing"",""ตราด!M496"")"),3400.0)</f>
        <v>3400</v>
      </c>
      <c r="O601" s="203">
        <f t="shared" si="127"/>
        <v>55.28455285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IFERROR(__xludf.DUMMYFUNCTION("IMPORTRANGE(""https://docs.google.com/spreadsheets/d/1SX6NBoVAgQJ6U1MVXOaj8PK2l7WJ3RER9xtqwdhxkhw/edit?usp=sharing"",""ตราด!M497"")"),0.0)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IFERROR(__xludf.DUMMYFUNCTION("IMPORTRANGE(""https://docs.google.com/spreadsheets/d/1SX6NBoVAgQJ6U1MVXOaj8PK2l7WJ3RER9xtqwdhxkhw/edit?usp=sharing"",""ตราด!M498"")"),0.0)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IFERROR(__xludf.DUMMYFUNCTION("IMPORTRANGE(""https://docs.google.com/spreadsheets/d/1SX6NBoVAgQJ6U1MVXOaj8PK2l7WJ3RER9xtqwdhxkhw/edit?usp=sharing"",""ตราด!M499"")"),0.0)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IFERROR(__xludf.DUMMYFUNCTION("IMPORTRANGE(""https://docs.google.com/spreadsheets/d/1SX6NBoVAgQJ6U1MVXOaj8PK2l7WJ3RER9xtqwdhxkhw/edit?usp=sharing"",""ตราด!M500"")"),3400.0)</f>
        <v>3400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IFERROR(__xludf.DUMMYFUNCTION("IMPORTRANGE(""https://docs.google.com/spreadsheets/d/1SX6NBoVAgQJ6U1MVXOaj8PK2l7WJ3RER9xtqwdhxkhw/edit?usp=sharing"",""ตราด!J502"")"),0.0)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IFERROR(__xludf.DUMMYFUNCTION("IMPORTRANGE(""https://docs.google.com/spreadsheets/d/1SX6NBoVAgQJ6U1MVXOaj8PK2l7WJ3RER9xtqwdhxkhw/edit?usp=sharing"",""ตราด!J503"")"),1.0)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IFERROR(__xludf.DUMMYFUNCTION("IMPORTRANGE(""https://docs.google.com/spreadsheets/d/1SX6NBoVAgQJ6U1MVXOaj8PK2l7WJ3RER9xtqwdhxkhw/edit?usp=sharing"",""ตราด!J166"")"),0.0)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IFERROR(__xludf.DUMMYFUNCTION("IMPORTRANGE(""https://docs.google.com/spreadsheets/d/1SX6NBoVAgQJ6U1MVXOaj8PK2l7WJ3RER9xtqwdhxkhw/edit?usp=sharing"",""ตราด!J166"")"),0.0)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IFERROR(__xludf.DUMMYFUNCTION("IMPORTRANGE(""https://docs.google.com/spreadsheets/d/1SX6NBoVAgQJ6U1MVXOaj8PK2l7WJ3RER9xtqwdhxkhw/edit?usp=sharing"",""ตราด!I506"")"),50.0)</f>
        <v>50</v>
      </c>
      <c r="J611" s="195">
        <f>IFERROR(__xludf.DUMMYFUNCTION("IMPORTRANGE(""https://docs.google.com/spreadsheets/d/1SX6NBoVAgQJ6U1MVXOaj8PK2l7WJ3RER9xtqwdhxkhw/edit?usp=sharing"",""ตราด!J506"")"),0.0)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IFERROR(__xludf.DUMMYFUNCTION("IMPORTRANGE(""https://docs.google.com/spreadsheets/d/1SX6NBoVAgQJ6U1MVXOaj8PK2l7WJ3RER9xtqwdhxkhw/edit?usp=sharing"",""ตราด!I507"")"),0.0)</f>
        <v>0</v>
      </c>
      <c r="J612" s="232">
        <f>IFERROR(__xludf.DUMMYFUNCTION("IMPORTRANGE(""https://docs.google.com/spreadsheets/d/1SX6NBoVAgQJ6U1MVXOaj8PK2l7WJ3RER9xtqwdhxkhw/edit?usp=sharing"",""ตราด!J507"")"),0.0)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IFERROR(__xludf.DUMMYFUNCTION("IMPORTRANGE(""https://docs.google.com/spreadsheets/d/1SX6NBoVAgQJ6U1MVXOaj8PK2l7WJ3RER9xtqwdhxkhw/edit?usp=sharing"",""ตราด!I508"")"),0.0)</f>
        <v>0</v>
      </c>
      <c r="J613" s="232">
        <f>IFERROR(__xludf.DUMMYFUNCTION("IMPORTRANGE(""https://docs.google.com/spreadsheets/d/1SX6NBoVAgQJ6U1MVXOaj8PK2l7WJ3RER9xtqwdhxkhw/edit?usp=sharing"",""ตราด!J508"")"),0.0)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IFERROR(__xludf.DUMMYFUNCTION("IMPORTRANGE(""https://docs.google.com/spreadsheets/d/1SX6NBoVAgQJ6U1MVXOaj8PK2l7WJ3RER9xtqwdhxkhw/edit?usp=sharing"",""ตราด!I509"")"),0.0)</f>
        <v>0</v>
      </c>
      <c r="J614" s="232">
        <f>IFERROR(__xludf.DUMMYFUNCTION("IMPORTRANGE(""https://docs.google.com/spreadsheets/d/1SX6NBoVAgQJ6U1MVXOaj8PK2l7WJ3RER9xtqwdhxkhw/edit?usp=sharing"",""ตราด!J509"")"),0.0)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IFERROR(__xludf.DUMMYFUNCTION("IMPORTRANGE(""https://docs.google.com/spreadsheets/d/1SX6NBoVAgQJ6U1MVXOaj8PK2l7WJ3RER9xtqwdhxkhw/edit?usp=sharing"",""ตราด!I510"")"),0.0)</f>
        <v>0</v>
      </c>
      <c r="J615" s="232">
        <f>IFERROR(__xludf.DUMMYFUNCTION("IMPORTRANGE(""https://docs.google.com/spreadsheets/d/1SX6NBoVAgQJ6U1MVXOaj8PK2l7WJ3RER9xtqwdhxkhw/edit?usp=sharing"",""ตราด!J510"")"),0.0)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IFERROR(__xludf.DUMMYFUNCTION("IMPORTRANGE(""https://docs.google.com/spreadsheets/d/1SX6NBoVAgQJ6U1MVXOaj8PK2l7WJ3RER9xtqwdhxkhw/edit?usp=sharing"",""ตราด!I511"")"),0.0)</f>
        <v>0</v>
      </c>
      <c r="J616" s="232">
        <f>IFERROR(__xludf.DUMMYFUNCTION("IMPORTRANGE(""https://docs.google.com/spreadsheets/d/1SX6NBoVAgQJ6U1MVXOaj8PK2l7WJ3RER9xtqwdhxkhw/edit?usp=sharing"",""ตราด!J511"")"),0.0)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IFERROR(__xludf.DUMMYFUNCTION("IMPORTRANGE(""https://docs.google.com/spreadsheets/d/1SX6NBoVAgQJ6U1MVXOaj8PK2l7WJ3RER9xtqwdhxkhw/edit?usp=sharing"",""ตราด!I512"")"),0.0)</f>
        <v>0</v>
      </c>
      <c r="J617" s="222">
        <f>IFERROR(__xludf.DUMMYFUNCTION("IMPORTRANGE(""https://docs.google.com/spreadsheets/d/1SX6NBoVAgQJ6U1MVXOaj8PK2l7WJ3RER9xtqwdhxkhw/edit?usp=sharing"",""ตราด!J512"")"),0.0)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IFERROR(__xludf.DUMMYFUNCTION("IMPORTRANGE(""https://docs.google.com/spreadsheets/d/1SX6NBoVAgQJ6U1MVXOaj8PK2l7WJ3RER9xtqwdhxkhw/edit?usp=sharing"",""ตราด!I513"")"),0.0)</f>
        <v>0</v>
      </c>
      <c r="J618" s="223">
        <f>IFERROR(__xludf.DUMMYFUNCTION("IMPORTRANGE(""https://docs.google.com/spreadsheets/d/1SX6NBoVAgQJ6U1MVXOaj8PK2l7WJ3RER9xtqwdhxkhw/edit?usp=sharing"",""ตราด!J513"")"),0.0)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IFERROR(__xludf.DUMMYFUNCTION("IMPORTRANGE(""https://docs.google.com/spreadsheets/d/1SX6NBoVAgQJ6U1MVXOaj8PK2l7WJ3RER9xtqwdhxkhw/edit?usp=sharing"",""ตราด!I514"")"),0.0)</f>
        <v>0</v>
      </c>
      <c r="J619" s="223">
        <f>IFERROR(__xludf.DUMMYFUNCTION("IMPORTRANGE(""https://docs.google.com/spreadsheets/d/1SX6NBoVAgQJ6U1MVXOaj8PK2l7WJ3RER9xtqwdhxkhw/edit?usp=sharing"",""ตราด!J514"")"),0.0)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IFERROR(__xludf.DUMMYFUNCTION("IMPORTRANGE(""https://docs.google.com/spreadsheets/d/1SX6NBoVAgQJ6U1MVXOaj8PK2l7WJ3RER9xtqwdhxkhw/edit?usp=sharing"",""ตราด!I515"")"),0.0)</f>
        <v>0</v>
      </c>
      <c r="J620" s="237">
        <f>IFERROR(__xludf.DUMMYFUNCTION("IMPORTRANGE(""https://docs.google.com/spreadsheets/d/1SX6NBoVAgQJ6U1MVXOaj8PK2l7WJ3RER9xtqwdhxkhw/edit?usp=sharing"",""ตราด!J515"")"),0.0)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IFERROR(__xludf.DUMMYFUNCTION("IMPORTRANGE(""https://docs.google.com/spreadsheets/d/1SX6NBoVAgQJ6U1MVXOaj8PK2l7WJ3RER9xtqwdhxkhw/edit?usp=sharing"",""ตราด!I516"")"),0.0)</f>
        <v>0</v>
      </c>
      <c r="J621" s="237">
        <f>IFERROR(__xludf.DUMMYFUNCTION("IMPORTRANGE(""https://docs.google.com/spreadsheets/d/1SX6NBoVAgQJ6U1MVXOaj8PK2l7WJ3RER9xtqwdhxkhw/edit?usp=sharing"",""ตราด!J516"")"),0.0)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IFERROR(__xludf.DUMMYFUNCTION("IMPORTRANGE(""https://docs.google.com/spreadsheets/d/1SX6NBoVAgQJ6U1MVXOaj8PK2l7WJ3RER9xtqwdhxkhw/edit?usp=sharing"",""ตราด!I517"")"),0.0)</f>
        <v>0</v>
      </c>
      <c r="J622" s="223">
        <f>IFERROR(__xludf.DUMMYFUNCTION("IMPORTRANGE(""https://docs.google.com/spreadsheets/d/1SX6NBoVAgQJ6U1MVXOaj8PK2l7WJ3RER9xtqwdhxkhw/edit?usp=sharing"",""ตราด!J517"")"),0.0)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IFERROR(__xludf.DUMMYFUNCTION("IMPORTRANGE(""https://docs.google.com/spreadsheets/d/1SX6NBoVAgQJ6U1MVXOaj8PK2l7WJ3RER9xtqwdhxkhw/edit?usp=sharing"",""ตราด!I518"")"),0.0)</f>
        <v>0</v>
      </c>
      <c r="J623" s="223">
        <f>IFERROR(__xludf.DUMMYFUNCTION("IMPORTRANGE(""https://docs.google.com/spreadsheets/d/1SX6NBoVAgQJ6U1MVXOaj8PK2l7WJ3RER9xtqwdhxkhw/edit?usp=sharing"",""ตราด!J518"")"),0.0)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IFERROR(__xludf.DUMMYFUNCTION("IMPORTRANGE(""https://docs.google.com/spreadsheets/d/1SX6NBoVAgQJ6U1MVXOaj8PK2l7WJ3RER9xtqwdhxkhw/edit?usp=sharing"",""ตราด!I519"")"),0.0)</f>
        <v>0</v>
      </c>
      <c r="J624" s="222">
        <f>IFERROR(__xludf.DUMMYFUNCTION("IMPORTRANGE(""https://docs.google.com/spreadsheets/d/1SX6NBoVAgQJ6U1MVXOaj8PK2l7WJ3RER9xtqwdhxkhw/edit?usp=sharing"",""ตราด!J519"")"),0.0)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IFERROR(__xludf.DUMMYFUNCTION("IMPORTRANGE(""https://docs.google.com/spreadsheets/d/1SX6NBoVAgQJ6U1MVXOaj8PK2l7WJ3RER9xtqwdhxkhw/edit?usp=sharing"",""ตราด!I520"")"),0.0)</f>
        <v>0</v>
      </c>
      <c r="J625" s="223">
        <f>IFERROR(__xludf.DUMMYFUNCTION("IMPORTRANGE(""https://docs.google.com/spreadsheets/d/1SX6NBoVAgQJ6U1MVXOaj8PK2l7WJ3RER9xtqwdhxkhw/edit?usp=sharing"",""ตราด!J520"")"),0.0)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IFERROR(__xludf.DUMMYFUNCTION("IMPORTRANGE(""https://docs.google.com/spreadsheets/d/1SX6NBoVAgQJ6U1MVXOaj8PK2l7WJ3RER9xtqwdhxkhw/edit?usp=sharing"",""ตราด!I521"")"),0.0)</f>
        <v>0</v>
      </c>
      <c r="J626" s="223">
        <f>IFERROR(__xludf.DUMMYFUNCTION("IMPORTRANGE(""https://docs.google.com/spreadsheets/d/1SX6NBoVAgQJ6U1MVXOaj8PK2l7WJ3RER9xtqwdhxkhw/edit?usp=sharing"",""ตราด!J521"")"),0.0)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IFERROR(__xludf.DUMMYFUNCTION("IMPORTRANGE(""https://docs.google.com/spreadsheets/d/1SX6NBoVAgQJ6U1MVXOaj8PK2l7WJ3RER9xtqwdhxkhw/edit?usp=sharing"",""ตราด!I523"")"),2500000.0)</f>
        <v>2500000</v>
      </c>
      <c r="J628" s="374">
        <f>IFERROR(__xludf.DUMMYFUNCTION("IMPORTRANGE(""https://docs.google.com/spreadsheets/d/1SX6NBoVAgQJ6U1MVXOaj8PK2l7WJ3RER9xtqwdhxkhw/edit?usp=sharing"",""ตราด!J523"")"),0.0)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IFERROR(__xludf.DUMMYFUNCTION("IMPORTRANGE(""https://docs.google.com/spreadsheets/d/1SX6NBoVAgQJ6U1MVXOaj8PK2l7WJ3RER9xtqwdhxkhw/edit?usp=sharing"",""ตราด!I524"")"),117.0)</f>
        <v>117</v>
      </c>
      <c r="J629" s="374">
        <f>IFERROR(__xludf.DUMMYFUNCTION("IMPORTRANGE(""https://docs.google.com/spreadsheets/d/1SX6NBoVAgQJ6U1MVXOaj8PK2l7WJ3RER9xtqwdhxkhw/edit?usp=sharing"",""ตราด!J524"")"),0.0)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IFERROR(__xludf.DUMMYFUNCTION("IMPORTRANGE(""https://docs.google.com/spreadsheets/d/1SX6NBoVAgQJ6U1MVXOaj8PK2l7WJ3RER9xtqwdhxkhw/edit?usp=sharing"",""ตราด!I525"")"),1746021.08)</f>
        <v>1746021.08</v>
      </c>
      <c r="J630" s="374">
        <f>IFERROR(__xludf.DUMMYFUNCTION("IMPORTRANGE(""https://docs.google.com/spreadsheets/d/1SX6NBoVAgQJ6U1MVXOaj8PK2l7WJ3RER9xtqwdhxkhw/edit?usp=sharing"",""ตราด!J525"")"),141918.26)</f>
        <v>141918.26</v>
      </c>
      <c r="K630" s="375">
        <f t="shared" si="130"/>
        <v>8.128095452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IFERROR(__xludf.DUMMYFUNCTION("IMPORTRANGE(""https://docs.google.com/spreadsheets/d/1SX6NBoVAgQJ6U1MVXOaj8PK2l7WJ3RER9xtqwdhxkhw/edit?usp=sharing"",""ตราด!I526"")"),45.0)</f>
        <v>45</v>
      </c>
      <c r="J631" s="374">
        <f>IFERROR(__xludf.DUMMYFUNCTION("IMPORTRANGE(""https://docs.google.com/spreadsheets/d/1SX6NBoVAgQJ6U1MVXOaj8PK2l7WJ3RER9xtqwdhxkhw/edit?usp=sharing"",""ตราด!J526"")"),16.0)</f>
        <v>16</v>
      </c>
      <c r="K631" s="375">
        <f t="shared" si="130"/>
        <v>35.55555556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IFERROR(__xludf.DUMMYFUNCTION("IMPORTRANGE(""https://docs.google.com/spreadsheets/d/1SX6NBoVAgQJ6U1MVXOaj8PK2l7WJ3RER9xtqwdhxkhw/edit?usp=sharing"",""ตราด!I527"")"),0.0)</f>
        <v>0</v>
      </c>
      <c r="J632" s="374">
        <f>IFERROR(__xludf.DUMMYFUNCTION("IMPORTRANGE(""https://docs.google.com/spreadsheets/d/1SX6NBoVAgQJ6U1MVXOaj8PK2l7WJ3RER9xtqwdhxkhw/edit?usp=sharing"",""ตราด!J527"")"),0.0)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IFERROR(__xludf.DUMMYFUNCTION("IMPORTRANGE(""https://docs.google.com/spreadsheets/d/1SX6NBoVAgQJ6U1MVXOaj8PK2l7WJ3RER9xtqwdhxkhw/edit?usp=sharing"",""ตราด!I528"")"),0.0)</f>
        <v>0</v>
      </c>
      <c r="J633" s="374">
        <f>IFERROR(__xludf.DUMMYFUNCTION("IMPORTRANGE(""https://docs.google.com/spreadsheets/d/1SX6NBoVAgQJ6U1MVXOaj8PK2l7WJ3RER9xtqwdhxkhw/edit?usp=sharing"",""ตราด!J528"")"),0.0)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IFERROR(__xludf.DUMMYFUNCTION("IMPORTRANGE(""https://docs.google.com/spreadsheets/d/1SX6NBoVAgQJ6U1MVXOaj8PK2l7WJ3RER9xtqwdhxkhw/edit?usp=sharing"",""ตราด!I529"")"),2000000.0)</f>
        <v>2000000</v>
      </c>
      <c r="J634" s="374">
        <f>IFERROR(__xludf.DUMMYFUNCTION("IMPORTRANGE(""https://docs.google.com/spreadsheets/d/1SX6NBoVAgQJ6U1MVXOaj8PK2l7WJ3RER9xtqwdhxkhw/edit?usp=sharing"",""ตราด!J529"")"),0.0)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IFERROR(__xludf.DUMMYFUNCTION("IMPORTRANGE(""https://docs.google.com/spreadsheets/d/1SX6NBoVAgQJ6U1MVXOaj8PK2l7WJ3RER9xtqwdhxkhw/edit?usp=sharing"",""ตราด!I530"")"),117.0)</f>
        <v>117</v>
      </c>
      <c r="J635" s="544">
        <f>IFERROR(__xludf.DUMMYFUNCTION("IMPORTRANGE(""https://docs.google.com/spreadsheets/d/1SX6NBoVAgQJ6U1MVXOaj8PK2l7WJ3RER9xtqwdhxkhw/edit?usp=sharing"",""ตราด!J530"")"),0.0)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251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3139690</v>
      </c>
      <c r="M8" s="41">
        <f t="shared" si="1"/>
        <v>1200390</v>
      </c>
      <c r="N8" s="41">
        <f t="shared" si="1"/>
        <v>628418</v>
      </c>
      <c r="O8" s="40">
        <f t="shared" ref="O8:O16" si="3">IF(L8&gt;0,N8*100/L8,0)</f>
        <v>20.01528813</v>
      </c>
      <c r="P8" s="40">
        <f t="shared" ref="P8:P16" si="4">IF(M8&gt;0,N8*100/M8,0)</f>
        <v>52.35115254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3139690</v>
      </c>
      <c r="M10" s="48">
        <f t="shared" si="5"/>
        <v>1200390</v>
      </c>
      <c r="N10" s="48">
        <f t="shared" si="5"/>
        <v>628418</v>
      </c>
      <c r="O10" s="47">
        <f t="shared" si="3"/>
        <v>20.01528813</v>
      </c>
      <c r="P10" s="47">
        <f t="shared" si="4"/>
        <v>52.35115254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3101890</v>
      </c>
      <c r="M12" s="58">
        <f t="shared" si="7"/>
        <v>1200390</v>
      </c>
      <c r="N12" s="58">
        <f t="shared" si="7"/>
        <v>590618</v>
      </c>
      <c r="O12" s="58">
        <f t="shared" si="3"/>
        <v>19.04058493</v>
      </c>
      <c r="P12" s="58">
        <f t="shared" si="4"/>
        <v>49.20217596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1817900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1283990</v>
      </c>
      <c r="M14" s="58">
        <f t="shared" si="9"/>
        <v>0</v>
      </c>
      <c r="N14" s="58">
        <f t="shared" si="9"/>
        <v>89210</v>
      </c>
      <c r="O14" s="61">
        <f t="shared" si="3"/>
        <v>6.947873426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37800</v>
      </c>
      <c r="M16" s="58">
        <f t="shared" si="11"/>
        <v>0</v>
      </c>
      <c r="N16" s="58">
        <f t="shared" si="11"/>
        <v>37800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2357880</v>
      </c>
      <c r="M18" s="41">
        <f t="shared" si="12"/>
        <v>1200390</v>
      </c>
      <c r="N18" s="41">
        <f t="shared" si="12"/>
        <v>539208</v>
      </c>
      <c r="O18" s="40">
        <f t="shared" ref="O18:O20" si="14">IF(L18&gt;0,N18*100/L18,0)</f>
        <v>22.86833936</v>
      </c>
      <c r="P18" s="40">
        <f t="shared" ref="P18:P26" si="15">IF(M18&gt;0,N18*100/M18,0)</f>
        <v>44.91940119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2357880</v>
      </c>
      <c r="M20" s="48">
        <f t="shared" si="16"/>
        <v>1200390</v>
      </c>
      <c r="N20" s="48">
        <f t="shared" si="16"/>
        <v>539208</v>
      </c>
      <c r="O20" s="47">
        <f t="shared" si="14"/>
        <v>22.86833936</v>
      </c>
      <c r="P20" s="47">
        <f t="shared" si="15"/>
        <v>44.91940119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2320080</v>
      </c>
      <c r="M22" s="62">
        <f t="shared" si="18"/>
        <v>1200390</v>
      </c>
      <c r="N22" s="61">
        <f t="shared" si="18"/>
        <v>501408</v>
      </c>
      <c r="O22" s="61">
        <f t="shared" si="19"/>
        <v>21.61166856</v>
      </c>
      <c r="P22" s="61">
        <f t="shared" si="15"/>
        <v>41.77042461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1817900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502180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37800</v>
      </c>
      <c r="M26" s="70">
        <f t="shared" si="23"/>
        <v>0</v>
      </c>
      <c r="N26" s="70">
        <f t="shared" si="23"/>
        <v>37800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781810</v>
      </c>
      <c r="M28" s="41">
        <f t="shared" si="24"/>
        <v>0</v>
      </c>
      <c r="N28" s="41">
        <f t="shared" si="24"/>
        <v>89210</v>
      </c>
      <c r="O28" s="40">
        <f t="shared" ref="O28:O30" si="26">IF(L28&gt;0,N28*100/L28,0)</f>
        <v>11.41070081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781810</v>
      </c>
      <c r="M30" s="48">
        <f t="shared" si="28"/>
        <v>0</v>
      </c>
      <c r="N30" s="48">
        <f t="shared" si="28"/>
        <v>89210</v>
      </c>
      <c r="O30" s="47">
        <f t="shared" si="26"/>
        <v>11.41070081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781810</v>
      </c>
      <c r="M32" s="61">
        <f t="shared" si="30"/>
        <v>0</v>
      </c>
      <c r="N32" s="61">
        <f t="shared" si="30"/>
        <v>89210</v>
      </c>
      <c r="O32" s="61">
        <f t="shared" si="31"/>
        <v>11.41070081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781810</v>
      </c>
      <c r="M34" s="61">
        <f t="shared" si="33"/>
        <v>0</v>
      </c>
      <c r="N34" s="61">
        <f t="shared" si="33"/>
        <v>89210</v>
      </c>
      <c r="O34" s="61">
        <f t="shared" si="31"/>
        <v>11.41070081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2357880</v>
      </c>
      <c r="M37" s="75">
        <f t="shared" si="34"/>
        <v>1200390</v>
      </c>
      <c r="N37" s="75">
        <f t="shared" si="34"/>
        <v>539208</v>
      </c>
      <c r="O37" s="76">
        <f t="shared" si="31"/>
        <v>22.86833936</v>
      </c>
      <c r="P37" s="76">
        <f t="shared" si="27"/>
        <v>44.91940119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644100</v>
      </c>
      <c r="M41" s="102">
        <f t="shared" si="35"/>
        <v>322100</v>
      </c>
      <c r="N41" s="102">
        <f t="shared" si="35"/>
        <v>218301</v>
      </c>
      <c r="O41" s="101">
        <f t="shared" ref="O41:O43" si="37">IF(L41&gt;0,N41*100/L41,0)</f>
        <v>33.89240801</v>
      </c>
      <c r="P41" s="101">
        <f t="shared" ref="P41:P43" si="38">IF(M41&gt;0,N41*100/M41,0)</f>
        <v>67.7742937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644100</v>
      </c>
      <c r="M43" s="102">
        <f t="shared" si="39"/>
        <v>322100</v>
      </c>
      <c r="N43" s="102">
        <f t="shared" si="39"/>
        <v>218301</v>
      </c>
      <c r="O43" s="101">
        <f t="shared" si="37"/>
        <v>33.89240801</v>
      </c>
      <c r="P43" s="101">
        <f t="shared" si="38"/>
        <v>67.7742937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644100</v>
      </c>
      <c r="M45" s="70">
        <f>IFERROR(__xludf.DUMMYFUNCTION("IMPORTRANGE(""https://docs.google.com/spreadsheets/d/1Yj_ptqi66GCucihVvJfMjLAmec39IyEx_6qawtMGysU/edit?usp=sharing"",""สบก!Q65"")"),322100.0)</f>
        <v>322100</v>
      </c>
      <c r="N45" s="70">
        <f>IFERROR(__xludf.DUMMYFUNCTION("IMPORTRANGE(""https://docs.google.com/spreadsheets/d/1Yj_ptqi66GCucihVvJfMjLAmec39IyEx_6qawtMGysU/edit?usp=sharing"",""สบก!R65"")"),218301.0)</f>
        <v>218301</v>
      </c>
      <c r="O45" s="61">
        <f>IF(L45&gt;0,N45*100/L45,0)</f>
        <v>33.89240801</v>
      </c>
      <c r="P45" s="61">
        <f>IF(M45&gt;0,N45*100/M45,0)</f>
        <v>67.7742937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IFERROR(__xludf.DUMMYFUNCTION("IMPORTRANGE(""https://docs.google.com/spreadsheets/d/1Yj_ptqi66GCucihVvJfMjLAmec39IyEx_6qawtMGysU/edit?usp=sharing"",""สบก!M65"")"),644100.0)</f>
        <v>644100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IFERROR(__xludf.DUMMYFUNCTION("IMPORTRANGE(""https://docs.google.com/spreadsheets/d/1Yj_ptqi66GCucihVvJfMjLAmec39IyEx_6qawtMGysU/edit?usp=sharing"",""สบก!N65"")"),0.0)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IFERROR(__xludf.DUMMYFUNCTION("IMPORTRANGE(""https://docs.google.com/spreadsheets/d/1Yj_ptqi66GCucihVvJfMjLAmec39IyEx_6qawtMGysU/edit?usp=sharing"",""สบก!O65"")"),0.0)</f>
        <v>0</v>
      </c>
      <c r="M49" s="70"/>
      <c r="N49" s="70">
        <f>IFERROR(__xludf.DUMMYFUNCTION("IMPORTRANGE(""https://docs.google.com/spreadsheets/d/1Yj_ptqi66GCucihVvJfMjLAmec39IyEx_6qawtMGysU/edit?usp=sharing"",""สบก!S65"")"),0.0)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339600</v>
      </c>
      <c r="M53" s="151">
        <f t="shared" si="40"/>
        <v>183300</v>
      </c>
      <c r="N53" s="151">
        <f t="shared" si="40"/>
        <v>74327</v>
      </c>
      <c r="O53" s="150">
        <f t="shared" ref="O53:O55" si="42">IF(L53&gt;0,N53*100/L53,0)</f>
        <v>21.88663133</v>
      </c>
      <c r="P53" s="150">
        <f t="shared" ref="P53:P55" si="43">IF(M53&gt;0,N53*100/M53,0)</f>
        <v>40.54937261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339600</v>
      </c>
      <c r="M55" s="151">
        <f t="shared" si="44"/>
        <v>183300</v>
      </c>
      <c r="N55" s="151">
        <f t="shared" si="44"/>
        <v>74327</v>
      </c>
      <c r="O55" s="150">
        <f t="shared" si="42"/>
        <v>21.88663133</v>
      </c>
      <c r="P55" s="150">
        <f t="shared" si="43"/>
        <v>40.54937261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339600</v>
      </c>
      <c r="M57" s="70">
        <f>IFERROR(__xludf.DUMMYFUNCTION("IMPORTRANGE(""https://docs.google.com/spreadsheets/d/1Yj_ptqi66GCucihVvJfMjLAmec39IyEx_6qawtMGysU/edit?usp=sharing"",""สบก!Z65"")"),183300.0)</f>
        <v>183300</v>
      </c>
      <c r="N57" s="70">
        <f>IFERROR(__xludf.DUMMYFUNCTION("IMPORTRANGE(""https://docs.google.com/spreadsheets/d/1Yj_ptqi66GCucihVvJfMjLAmec39IyEx_6qawtMGysU/edit?usp=sharing"",""สบก!AA65"")"),74327.0)</f>
        <v>74327</v>
      </c>
      <c r="O57" s="61">
        <f>IF(L57&gt;0,N57*100/L57,0)</f>
        <v>21.88663133</v>
      </c>
      <c r="P57" s="61">
        <f>IF(M57&gt;0,N57*100/M57,0)</f>
        <v>40.54937261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IFERROR(__xludf.DUMMYFUNCTION("IMPORTRANGE(""https://docs.google.com/spreadsheets/d/1Yj_ptqi66GCucihVvJfMjLAmec39IyEx_6qawtMGysU/edit?usp=sharing"",""สบก!V65"")"),339600.0)</f>
        <v>339600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IFERROR(__xludf.DUMMYFUNCTION("IMPORTRANGE(""https://docs.google.com/spreadsheets/d/1Yj_ptqi66GCucihVvJfMjLAmec39IyEx_6qawtMGysU/edit?usp=sharing"",""สบก!W65"")"),0.0)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IFERROR(__xludf.DUMMYFUNCTION("IMPORTRANGE(""https://docs.google.com/spreadsheets/d/1Yj_ptqi66GCucihVvJfMjLAmec39IyEx_6qawtMGysU/edit?usp=sharing"",""สบก!X65"")"),0.0)</f>
        <v>0</v>
      </c>
      <c r="M61" s="70"/>
      <c r="N61" s="70">
        <f>IFERROR(__xludf.DUMMYFUNCTION("IMPORTRANGE(""https://docs.google.com/spreadsheets/d/1Yj_ptqi66GCucihVvJfMjLAmec39IyEx_6qawtMGysU/edit?usp=sharing"",""สบก!AB65"")"),0.0)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IFERROR(__xludf.DUMMYFUNCTION("IMPORTRANGE(""https://docs.google.com/spreadsheets/d/1SX6NBoVAgQJ6U1MVXOaj8PK2l7WJ3RER9xtqwdhxkhw/edit?usp=sharing"",""นครนายก!I9"")"),0.0)</f>
        <v>0</v>
      </c>
      <c r="J64" s="172">
        <f>IFERROR(__xludf.DUMMYFUNCTION("IMPORTRANGE(""https://docs.google.com/spreadsheets/d/1SX6NBoVAgQJ6U1MVXOaj8PK2l7WJ3RER9xtqwdhxkhw/edit?usp=sharing"",""นครนายก!J9"")"),0.0)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IFERROR(__xludf.DUMMYFUNCTION("IMPORTRANGE(""https://docs.google.com/spreadsheets/d/1SX6NBoVAgQJ6U1MVXOaj8PK2l7WJ3RER9xtqwdhxkhw/edit?usp=sharing"",""นครนายก!I10"")"),0.0)</f>
        <v>0</v>
      </c>
      <c r="J65" s="172">
        <f>IFERROR(__xludf.DUMMYFUNCTION("IMPORTRANGE(""https://docs.google.com/spreadsheets/d/1SX6NBoVAgQJ6U1MVXOaj8PK2l7WJ3RER9xtqwdhxkhw/edit?usp=sharing"",""นครนายก!J10"")"),0.0)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IFERROR(__xludf.DUMMYFUNCTION("IMPORTRANGE(""https://docs.google.com/spreadsheets/d/1Yj_ptqi66GCucihVvJfMjLAmec39IyEx_6qawtMGysU/edit?usp=sharing"",""สบก!AI65"")"),0.0)</f>
        <v>0</v>
      </c>
      <c r="N70" s="203">
        <f>IFERROR(__xludf.DUMMYFUNCTION("IMPORTRANGE(""https://docs.google.com/spreadsheets/d/1Yj_ptqi66GCucihVvJfMjLAmec39IyEx_6qawtMGysU/edit?usp=sharing"",""สบก!AJ65"")"),0.0)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IFERROR(__xludf.DUMMYFUNCTION("IMPORTRANGE(""https://docs.google.com/spreadsheets/d/1Yj_ptqi66GCucihVvJfMjLAmec39IyEx_6qawtMGysU/edit?usp=sharing"",""สบก!AE65"")"),0.0)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IFERROR(__xludf.DUMMYFUNCTION("IMPORTRANGE(""https://docs.google.com/spreadsheets/d/1Yj_ptqi66GCucihVvJfMjLAmec39IyEx_6qawtMGysU/edit?usp=sharing"",""สบก!AF65"")"),0.0)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IFERROR(__xludf.DUMMYFUNCTION("IMPORTRANGE(""https://docs.google.com/spreadsheets/d/1Yj_ptqi66GCucihVvJfMjLAmec39IyEx_6qawtMGysU/edit?usp=sharing"",""สบก!AG65"")"),0.0)</f>
        <v>0</v>
      </c>
      <c r="M74" s="70"/>
      <c r="N74" s="70">
        <f>IFERROR(__xludf.DUMMYFUNCTION("IMPORTRANGE(""https://docs.google.com/spreadsheets/d/1Yj_ptqi66GCucihVvJfMjLAmec39IyEx_6qawtMGysU/edit?usp=sharing"",""สบก!AK65"")"),0.0)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IFERROR(__xludf.DUMMYFUNCTION("IMPORTRANGE(""https://docs.google.com/spreadsheets/d/1SX6NBoVAgQJ6U1MVXOaj8PK2l7WJ3RER9xtqwdhxkhw/edit?usp=sharing"",""นครนายก!J16"")"),0.0)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IFERROR(__xludf.DUMMYFUNCTION("IMPORTRANGE(""https://docs.google.com/spreadsheets/d/1SX6NBoVAgQJ6U1MVXOaj8PK2l7WJ3RER9xtqwdhxkhw/edit?usp=sharing"",""นครนายก!J17"")"),0.0)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IFERROR(__xludf.DUMMYFUNCTION("IMPORTRANGE(""https://docs.google.com/spreadsheets/d/1SX6NBoVAgQJ6U1MVXOaj8PK2l7WJ3RER9xtqwdhxkhw/edit?usp=sharing"",""นครนายก!J18"")"),0.0)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IFERROR(__xludf.DUMMYFUNCTION("IMPORTRANGE(""https://docs.google.com/spreadsheets/d/1SX6NBoVAgQJ6U1MVXOaj8PK2l7WJ3RER9xtqwdhxkhw/edit?usp=sharing"",""นครนายก!J19"")"),0.0)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IFERROR(__xludf.DUMMYFUNCTION("IMPORTRANGE(""https://docs.google.com/spreadsheets/d/1SX6NBoVAgQJ6U1MVXOaj8PK2l7WJ3RER9xtqwdhxkhw/edit?usp=sharing"",""นครนายก!I20"")"),0.0)</f>
        <v>0</v>
      </c>
      <c r="J80" s="235">
        <f>IFERROR(__xludf.DUMMYFUNCTION("IMPORTRANGE(""https://docs.google.com/spreadsheets/d/1SX6NBoVAgQJ6U1MVXOaj8PK2l7WJ3RER9xtqwdhxkhw/edit?usp=sharing"",""นครนายก!J20"")"),0.0)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IFERROR(__xludf.DUMMYFUNCTION("IMPORTRANGE(""https://docs.google.com/spreadsheets/d/1SX6NBoVAgQJ6U1MVXOaj8PK2l7WJ3RER9xtqwdhxkhw/edit?usp=sharing"",""นครนายก!I21"")"),0.0)</f>
        <v>0</v>
      </c>
      <c r="J81" s="235">
        <f>IFERROR(__xludf.DUMMYFUNCTION("IMPORTRANGE(""https://docs.google.com/spreadsheets/d/1SX6NBoVAgQJ6U1MVXOaj8PK2l7WJ3RER9xtqwdhxkhw/edit?usp=sharing"",""นครนายก!J21"")"),0.0)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IFERROR(__xludf.DUMMYFUNCTION("IMPORTRANGE(""https://docs.google.com/spreadsheets/d/1SX6NBoVAgQJ6U1MVXOaj8PK2l7WJ3RER9xtqwdhxkhw/edit?usp=sharing"",""นครนายก!I22"")"),0.0)</f>
        <v>0</v>
      </c>
      <c r="J82" s="238">
        <f>IFERROR(__xludf.DUMMYFUNCTION("IMPORTRANGE(""https://docs.google.com/spreadsheets/d/1SX6NBoVAgQJ6U1MVXOaj8PK2l7WJ3RER9xtqwdhxkhw/edit?usp=sharing"",""นครนายก!J22"")"),0.0)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IFERROR(__xludf.DUMMYFUNCTION("IMPORTRANGE(""https://docs.google.com/spreadsheets/d/1SX6NBoVAgQJ6U1MVXOaj8PK2l7WJ3RER9xtqwdhxkhw/edit?usp=sharing"",""นครนายก!I23"")"),0.0)</f>
        <v>0</v>
      </c>
      <c r="J83" s="238">
        <f>IFERROR(__xludf.DUMMYFUNCTION("IMPORTRANGE(""https://docs.google.com/spreadsheets/d/1SX6NBoVAgQJ6U1MVXOaj8PK2l7WJ3RER9xtqwdhxkhw/edit?usp=sharing"",""นครนายก!J23"")"),0.0)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IFERROR(__xludf.DUMMYFUNCTION("IMPORTRANGE(""https://docs.google.com/spreadsheets/d/1SX6NBoVAgQJ6U1MVXOaj8PK2l7WJ3RER9xtqwdhxkhw/edit?usp=sharing"",""นครนายก!I24"")"),0.0)</f>
        <v>0</v>
      </c>
      <c r="J84" s="223">
        <f>IFERROR(__xludf.DUMMYFUNCTION("IMPORTRANGE(""https://docs.google.com/spreadsheets/d/1SX6NBoVAgQJ6U1MVXOaj8PK2l7WJ3RER9xtqwdhxkhw/edit?usp=sharing"",""นครนายก!J24"")"),0.0)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IFERROR(__xludf.DUMMYFUNCTION("IMPORTRANGE(""https://docs.google.com/spreadsheets/d/1SX6NBoVAgQJ6U1MVXOaj8PK2l7WJ3RER9xtqwdhxkhw/edit?usp=sharing"",""นครนายก!I25"")"),0.0)</f>
        <v>0</v>
      </c>
      <c r="J85" s="223">
        <f>IFERROR(__xludf.DUMMYFUNCTION("IMPORTRANGE(""https://docs.google.com/spreadsheets/d/1SX6NBoVAgQJ6U1MVXOaj8PK2l7WJ3RER9xtqwdhxkhw/edit?usp=sharing"",""นครนายก!J25"")"),0.0)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IFERROR(__xludf.DUMMYFUNCTION("IMPORTRANGE(""https://docs.google.com/spreadsheets/d/1SX6NBoVAgQJ6U1MVXOaj8PK2l7WJ3RER9xtqwdhxkhw/edit?usp=sharing"",""นครนายก!I26"")"),0.0)</f>
        <v>0</v>
      </c>
      <c r="J86" s="238">
        <f>IFERROR(__xludf.DUMMYFUNCTION("IMPORTRANGE(""https://docs.google.com/spreadsheets/d/1SX6NBoVAgQJ6U1MVXOaj8PK2l7WJ3RER9xtqwdhxkhw/edit?usp=sharing"",""นครนายก!J26"")"),0.0)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IFERROR(__xludf.DUMMYFUNCTION("IMPORTRANGE(""https://docs.google.com/spreadsheets/d/1SX6NBoVAgQJ6U1MVXOaj8PK2l7WJ3RER9xtqwdhxkhw/edit?usp=sharing"",""นครนายก!I27"")"),0.0)</f>
        <v>0</v>
      </c>
      <c r="J87" s="238">
        <f>IFERROR(__xludf.DUMMYFUNCTION("IMPORTRANGE(""https://docs.google.com/spreadsheets/d/1SX6NBoVAgQJ6U1MVXOaj8PK2l7WJ3RER9xtqwdhxkhw/edit?usp=sharing"",""นครนายก!J27"")"),0.0)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IFERROR(__xludf.DUMMYFUNCTION("IMPORTRANGE(""https://docs.google.com/spreadsheets/d/1SX6NBoVAgQJ6U1MVXOaj8PK2l7WJ3RER9xtqwdhxkhw/edit?usp=sharing"",""นครนายก!I28"")"),0.0)</f>
        <v>0</v>
      </c>
      <c r="J88" s="238">
        <f>IFERROR(__xludf.DUMMYFUNCTION("IMPORTRANGE(""https://docs.google.com/spreadsheets/d/1SX6NBoVAgQJ6U1MVXOaj8PK2l7WJ3RER9xtqwdhxkhw/edit?usp=sharing"",""นครนายก!J28"")"),0.0)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IFERROR(__xludf.DUMMYFUNCTION("IMPORTRANGE(""https://docs.google.com/spreadsheets/d/1SX6NBoVAgQJ6U1MVXOaj8PK2l7WJ3RER9xtqwdhxkhw/edit?usp=sharing"",""นครนายก!J29"")"),0.0)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IFERROR(__xludf.DUMMYFUNCTION("IMPORTRANGE(""https://docs.google.com/spreadsheets/d/1SX6NBoVAgQJ6U1MVXOaj8PK2l7WJ3RER9xtqwdhxkhw/edit?usp=sharing"",""นครนายก!J30"")"),0.0)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IFERROR(__xludf.DUMMYFUNCTION("IMPORTRANGE(""https://docs.google.com/spreadsheets/d/1SX6NBoVAgQJ6U1MVXOaj8PK2l7WJ3RER9xtqwdhxkhw/edit?usp=sharing"",""นครนายก!I32"")"),0.0)</f>
        <v>0</v>
      </c>
      <c r="J92" s="172">
        <f>IFERROR(__xludf.DUMMYFUNCTION("IMPORTRANGE(""https://docs.google.com/spreadsheets/d/1SX6NBoVAgQJ6U1MVXOaj8PK2l7WJ3RER9xtqwdhxkhw/edit?usp=sharing"",""นครนายก!J32"")"),0.0)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IFERROR(__xludf.DUMMYFUNCTION("IMPORTRANGE(""https://docs.google.com/spreadsheets/d/1SX6NBoVAgQJ6U1MVXOaj8PK2l7WJ3RER9xtqwdhxkhw/edit?usp=sharing"",""นครนายก!I33"")"),0.0)</f>
        <v>0</v>
      </c>
      <c r="J93" s="172">
        <f>IFERROR(__xludf.DUMMYFUNCTION("IMPORTRANGE(""https://docs.google.com/spreadsheets/d/1SX6NBoVAgQJ6U1MVXOaj8PK2l7WJ3RER9xtqwdhxkhw/edit?usp=sharing"",""นครนายก!J33"")"),0.0)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IFERROR(__xludf.DUMMYFUNCTION("IMPORTRANGE(""https://docs.google.com/spreadsheets/d/1Yj_ptqi66GCucihVvJfMjLAmec39IyEx_6qawtMGysU/edit?usp=sharing"",""สบก!AR65"")"),0.0)</f>
        <v>0</v>
      </c>
      <c r="N98" s="203">
        <f>IFERROR(__xludf.DUMMYFUNCTION("IMPORTRANGE(""https://docs.google.com/spreadsheets/d/1Yj_ptqi66GCucihVvJfMjLAmec39IyEx_6qawtMGysU/edit?usp=sharing"",""สบก!AS65"")"),0.0)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IFERROR(__xludf.DUMMYFUNCTION("IMPORTRANGE(""https://docs.google.com/spreadsheets/d/1Yj_ptqi66GCucihVvJfMjLAmec39IyEx_6qawtMGysU/edit?usp=sharing"",""สบก!AN65"")"),0.0)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IFERROR(__xludf.DUMMYFUNCTION("IMPORTRANGE(""https://docs.google.com/spreadsheets/d/1Yj_ptqi66GCucihVvJfMjLAmec39IyEx_6qawtMGysU/edit?usp=sharing"",""สบก!AO65"")"),0.0)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IFERROR(__xludf.DUMMYFUNCTION("IMPORTRANGE(""https://docs.google.com/spreadsheets/d/1Yj_ptqi66GCucihVvJfMjLAmec39IyEx_6qawtMGysU/edit?usp=sharing"",""สบก!AP65"")"),0.0)</f>
        <v>0</v>
      </c>
      <c r="M102" s="70"/>
      <c r="N102" s="70">
        <f>IFERROR(__xludf.DUMMYFUNCTION("IMPORTRANGE(""https://docs.google.com/spreadsheets/d/1Yj_ptqi66GCucihVvJfMjLAmec39IyEx_6qawtMGysU/edit?usp=sharing"",""สบก!AT65"")"),0.0)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IFERROR(__xludf.DUMMYFUNCTION("IMPORTRANGE(""https://docs.google.com/spreadsheets/d/1SX6NBoVAgQJ6U1MVXOaj8PK2l7WJ3RER9xtqwdhxkhw/edit?usp=sharing"",""นครนายก!J39"")"),0.0)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IFERROR(__xludf.DUMMYFUNCTION("IMPORTRANGE(""https://docs.google.com/spreadsheets/d/1SX6NBoVAgQJ6U1MVXOaj8PK2l7WJ3RER9xtqwdhxkhw/edit?usp=sharing"",""นครนายก!J40"")"),0.0)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IFERROR(__xludf.DUMMYFUNCTION("IMPORTRANGE(""https://docs.google.com/spreadsheets/d/1SX6NBoVAgQJ6U1MVXOaj8PK2l7WJ3RER9xtqwdhxkhw/edit?usp=sharing"",""นครนายก!J41"")"),0.0)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IFERROR(__xludf.DUMMYFUNCTION("IMPORTRANGE(""https://docs.google.com/spreadsheets/d/1SX6NBoVAgQJ6U1MVXOaj8PK2l7WJ3RER9xtqwdhxkhw/edit?usp=sharing"",""นครนายก!J42"")"),0.0)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IFERROR(__xludf.DUMMYFUNCTION("IMPORTRANGE(""https://docs.google.com/spreadsheets/d/1SX6NBoVAgQJ6U1MVXOaj8PK2l7WJ3RER9xtqwdhxkhw/edit?usp=sharing"",""นครนายก!I43"")"),0.0)</f>
        <v>0</v>
      </c>
      <c r="J108" s="238">
        <f>IFERROR(__xludf.DUMMYFUNCTION("IMPORTRANGE(""https://docs.google.com/spreadsheets/d/1SX6NBoVAgQJ6U1MVXOaj8PK2l7WJ3RER9xtqwdhxkhw/edit?usp=sharing"",""นครนายก!J43"")"),0.0)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IFERROR(__xludf.DUMMYFUNCTION("IMPORTRANGE(""https://docs.google.com/spreadsheets/d/1SX6NBoVAgQJ6U1MVXOaj8PK2l7WJ3RER9xtqwdhxkhw/edit?usp=sharing"",""นครนายก!I44"")"),0.0)</f>
        <v>0</v>
      </c>
      <c r="J109" s="238">
        <f>IFERROR(__xludf.DUMMYFUNCTION("IMPORTRANGE(""https://docs.google.com/spreadsheets/d/1SX6NBoVAgQJ6U1MVXOaj8PK2l7WJ3RER9xtqwdhxkhw/edit?usp=sharing"",""นครนายก!J44"")"),0.0)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IFERROR(__xludf.DUMMYFUNCTION("IMPORTRANGE(""https://docs.google.com/spreadsheets/d/1SX6NBoVAgQJ6U1MVXOaj8PK2l7WJ3RER9xtqwdhxkhw/edit?usp=sharing"",""นครนายก!I45"")"),0.0)</f>
        <v>0</v>
      </c>
      <c r="J110" s="238">
        <f>IFERROR(__xludf.DUMMYFUNCTION("IMPORTRANGE(""https://docs.google.com/spreadsheets/d/1SX6NBoVAgQJ6U1MVXOaj8PK2l7WJ3RER9xtqwdhxkhw/edit?usp=sharing"",""นครนายก!J45"")"),0.0)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IFERROR(__xludf.DUMMYFUNCTION("IMPORTRANGE(""https://docs.google.com/spreadsheets/d/1SX6NBoVAgQJ6U1MVXOaj8PK2l7WJ3RER9xtqwdhxkhw/edit?usp=sharing"",""นครนายก!I46"")"),0.0)</f>
        <v>0</v>
      </c>
      <c r="J111" s="238">
        <f>IFERROR(__xludf.DUMMYFUNCTION("IMPORTRANGE(""https://docs.google.com/spreadsheets/d/1SX6NBoVAgQJ6U1MVXOaj8PK2l7WJ3RER9xtqwdhxkhw/edit?usp=sharing"",""นครนายก!J46"")"),0.0)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IFERROR(__xludf.DUMMYFUNCTION("IMPORTRANGE(""https://docs.google.com/spreadsheets/d/1SX6NBoVAgQJ6U1MVXOaj8PK2l7WJ3RER9xtqwdhxkhw/edit?usp=sharing"",""นครนายก!I47"")"),0.0)</f>
        <v>0</v>
      </c>
      <c r="J112" s="238">
        <f>IFERROR(__xludf.DUMMYFUNCTION("IMPORTRANGE(""https://docs.google.com/spreadsheets/d/1SX6NBoVAgQJ6U1MVXOaj8PK2l7WJ3RER9xtqwdhxkhw/edit?usp=sharing"",""นครนายก!J47"")"),0.0)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IFERROR(__xludf.DUMMYFUNCTION("IMPORTRANGE(""https://docs.google.com/spreadsheets/d/1SX6NBoVAgQJ6U1MVXOaj8PK2l7WJ3RER9xtqwdhxkhw/edit?usp=sharing"",""นครนายก!I48"")"),0.0)</f>
        <v>0</v>
      </c>
      <c r="J113" s="238">
        <f>IFERROR(__xludf.DUMMYFUNCTION("IMPORTRANGE(""https://docs.google.com/spreadsheets/d/1SX6NBoVAgQJ6U1MVXOaj8PK2l7WJ3RER9xtqwdhxkhw/edit?usp=sharing"",""นครนายก!J48"")"),0.0)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IFERROR(__xludf.DUMMYFUNCTION("IMPORTRANGE(""https://docs.google.com/spreadsheets/d/1SX6NBoVAgQJ6U1MVXOaj8PK2l7WJ3RER9xtqwdhxkhw/edit?usp=sharing"",""นครนายก!J49"")"),0.0)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IFERROR(__xludf.DUMMYFUNCTION("IMPORTRANGE(""https://docs.google.com/spreadsheets/d/1SX6NBoVAgQJ6U1MVXOaj8PK2l7WJ3RER9xtqwdhxkhw/edit?usp=sharing"",""นครนายก!J50"")"),0.0)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IFERROR(__xludf.DUMMYFUNCTION("IMPORTRANGE(""https://docs.google.com/spreadsheets/d/1SX6NBoVAgQJ6U1MVXOaj8PK2l7WJ3RER9xtqwdhxkhw/edit?usp=sharing"",""นครนายก!I52"")"),0.0)</f>
        <v>0</v>
      </c>
      <c r="J117" s="172">
        <f>IFERROR(__xludf.DUMMYFUNCTION("IMPORTRANGE(""https://docs.google.com/spreadsheets/d/1SX6NBoVAgQJ6U1MVXOaj8PK2l7WJ3RER9xtqwdhxkhw/edit?usp=sharing"",""นครนายก!J52"")"),0.0)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IFERROR(__xludf.DUMMYFUNCTION("IMPORTRANGE(""https://docs.google.com/spreadsheets/d/1Yj_ptqi66GCucihVvJfMjLAmec39IyEx_6qawtMGysU/edit?usp=sharing"",""สบก!BA65"")"),0.0)</f>
        <v>0</v>
      </c>
      <c r="N122" s="203">
        <f>IFERROR(__xludf.DUMMYFUNCTION("IMPORTRANGE(""https://docs.google.com/spreadsheets/d/1Yj_ptqi66GCucihVvJfMjLAmec39IyEx_6qawtMGysU/edit?usp=sharing"",""สบก!BB65"")"),0.0)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IFERROR(__xludf.DUMMYFUNCTION("IMPORTRANGE(""https://docs.google.com/spreadsheets/d/1Yj_ptqi66GCucihVvJfMjLAmec39IyEx_6qawtMGysU/edit?usp=sharing"",""สบก!AW65"")"),0.0)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IFERROR(__xludf.DUMMYFUNCTION("IMPORTRANGE(""https://docs.google.com/spreadsheets/d/1Yj_ptqi66GCucihVvJfMjLAmec39IyEx_6qawtMGysU/edit?usp=sharing"",""สบก!AX65"")"),0.0)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IFERROR(__xludf.DUMMYFUNCTION("IMPORTRANGE(""https://docs.google.com/spreadsheets/d/1Yj_ptqi66GCucihVvJfMjLAmec39IyEx_6qawtMGysU/edit?usp=sharing"",""สบก!AY65"")"),0.0)</f>
        <v>0</v>
      </c>
      <c r="M126" s="70"/>
      <c r="N126" s="70">
        <f>IFERROR(__xludf.DUMMYFUNCTION("IMPORTRANGE(""https://docs.google.com/spreadsheets/d/1Yj_ptqi66GCucihVvJfMjLAmec39IyEx_6qawtMGysU/edit?usp=sharing"",""สบก!BC65"")"),0.0)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252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IFERROR(__xludf.DUMMYFUNCTION("IMPORTRANGE(""https://docs.google.com/spreadsheets/d/1SX6NBoVAgQJ6U1MVXOaj8PK2l7WJ3RER9xtqwdhxkhw/edit?usp=sharing"",""นครนายก!J58"")"),0.0)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IFERROR(__xludf.DUMMYFUNCTION("IMPORTRANGE(""https://docs.google.com/spreadsheets/d/1SX6NBoVAgQJ6U1MVXOaj8PK2l7WJ3RER9xtqwdhxkhw/edit?usp=sharing"",""นครนายก!J59"")"),0.0)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IFERROR(__xludf.DUMMYFUNCTION("IMPORTRANGE(""https://docs.google.com/spreadsheets/d/1SX6NBoVAgQJ6U1MVXOaj8PK2l7WJ3RER9xtqwdhxkhw/edit?usp=sharing"",""นครนายก!J60"")"),0.0)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IFERROR(__xludf.DUMMYFUNCTION("IMPORTRANGE(""https://docs.google.com/spreadsheets/d/1SX6NBoVAgQJ6U1MVXOaj8PK2l7WJ3RER9xtqwdhxkhw/edit?usp=sharing"",""นครนายก!J61"")"),0.0)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IFERROR(__xludf.DUMMYFUNCTION("IMPORTRANGE(""https://docs.google.com/spreadsheets/d/1SX6NBoVAgQJ6U1MVXOaj8PK2l7WJ3RER9xtqwdhxkhw/edit?usp=sharing"",""นครนายก!I62"")"),0.0)</f>
        <v>0</v>
      </c>
      <c r="J132" s="238">
        <f>IFERROR(__xludf.DUMMYFUNCTION("IMPORTRANGE(""https://docs.google.com/spreadsheets/d/1SX6NBoVAgQJ6U1MVXOaj8PK2l7WJ3RER9xtqwdhxkhw/edit?usp=sharing"",""นครนายก!J62"")"),0.0)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IFERROR(__xludf.DUMMYFUNCTION("IMPORTRANGE(""https://docs.google.com/spreadsheets/d/1SX6NBoVAgQJ6U1MVXOaj8PK2l7WJ3RER9xtqwdhxkhw/edit?usp=sharing"",""นครนายก!I63"")"),0.0)</f>
        <v>0</v>
      </c>
      <c r="J133" s="238">
        <f>IFERROR(__xludf.DUMMYFUNCTION("IMPORTRANGE(""https://docs.google.com/spreadsheets/d/1SX6NBoVAgQJ6U1MVXOaj8PK2l7WJ3RER9xtqwdhxkhw/edit?usp=sharing"",""นครนายก!J63"")"),0.0)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IFERROR(__xludf.DUMMYFUNCTION("IMPORTRANGE(""https://docs.google.com/spreadsheets/d/1SX6NBoVAgQJ6U1MVXOaj8PK2l7WJ3RER9xtqwdhxkhw/edit?usp=sharing"",""นครนายก!J64"")"),0.0)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IFERROR(__xludf.DUMMYFUNCTION("IMPORTRANGE(""https://docs.google.com/spreadsheets/d/1SX6NBoVAgQJ6U1MVXOaj8PK2l7WJ3RER9xtqwdhxkhw/edit?usp=sharing"",""นครนายก!J65"")"),0.0)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IFERROR(__xludf.DUMMYFUNCTION("IMPORTRANGE(""https://docs.google.com/spreadsheets/d/1SX6NBoVAgQJ6U1MVXOaj8PK2l7WJ3RER9xtqwdhxkhw/edit?usp=sharing"",""นครนายก!I68"")"),20.0)</f>
        <v>20</v>
      </c>
      <c r="J138" s="301">
        <f>IFERROR(__xludf.DUMMYFUNCTION("IMPORTRANGE(""https://docs.google.com/spreadsheets/d/1SX6NBoVAgQJ6U1MVXOaj8PK2l7WJ3RER9xtqwdhxkhw/edit?usp=sharing"",""นครนายก!J68"")"),0.0)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569800</v>
      </c>
      <c r="M140" s="183">
        <f t="shared" si="65"/>
        <v>307050</v>
      </c>
      <c r="N140" s="183">
        <f t="shared" si="65"/>
        <v>58492</v>
      </c>
      <c r="O140" s="182">
        <f t="shared" ref="O140:O142" si="67">IF(L140&gt;0,N140*100/L140,0)</f>
        <v>10.26535627</v>
      </c>
      <c r="P140" s="182">
        <f t="shared" ref="P140:P142" si="68">IF(M140&gt;0,N140*100/M140,0)</f>
        <v>19.04966618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569800</v>
      </c>
      <c r="M142" s="188">
        <f t="shared" si="69"/>
        <v>307050</v>
      </c>
      <c r="N142" s="188">
        <f t="shared" si="69"/>
        <v>58492</v>
      </c>
      <c r="O142" s="187">
        <f t="shared" si="67"/>
        <v>10.26535627</v>
      </c>
      <c r="P142" s="187">
        <f t="shared" si="68"/>
        <v>19.04966618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569800</v>
      </c>
      <c r="M144" s="200">
        <f>IFERROR(__xludf.DUMMYFUNCTION("IMPORTRANGE(""https://docs.google.com/spreadsheets/d/1Yj_ptqi66GCucihVvJfMjLAmec39IyEx_6qawtMGysU/edit?usp=sharing"",""สบก!BJ65"")"),307050.0)</f>
        <v>307050</v>
      </c>
      <c r="N144" s="203">
        <f>IFERROR(__xludf.DUMMYFUNCTION("IMPORTRANGE(""https://docs.google.com/spreadsheets/d/1Yj_ptqi66GCucihVvJfMjLAmec39IyEx_6qawtMGysU/edit?usp=sharing"",""สบก!BK65"")"),58492.0)</f>
        <v>58492</v>
      </c>
      <c r="O144" s="203">
        <f>IF(L144&gt;0,N144*100/L144,0)</f>
        <v>10.26535627</v>
      </c>
      <c r="P144" s="203">
        <f>IF(M144&gt;0,N144*100/M144,0)</f>
        <v>19.04966618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IFERROR(__xludf.DUMMYFUNCTION("IMPORTRANGE(""https://docs.google.com/spreadsheets/d/1Yj_ptqi66GCucihVvJfMjLAmec39IyEx_6qawtMGysU/edit?usp=sharing"",""สบก!BF65"")"),305000.0)</f>
        <v>305000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IFERROR(__xludf.DUMMYFUNCTION("IMPORTRANGE(""https://docs.google.com/spreadsheets/d/1Yj_ptqi66GCucihVvJfMjLAmec39IyEx_6qawtMGysU/edit?usp=sharing"",""สบก!BG65"")"),264800.0)</f>
        <v>264800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IFERROR(__xludf.DUMMYFUNCTION("IMPORTRANGE(""https://docs.google.com/spreadsheets/d/1Yj_ptqi66GCucihVvJfMjLAmec39IyEx_6qawtMGysU/edit?usp=sharing"",""สบก!BH65"")"),0.0)</f>
        <v>0</v>
      </c>
      <c r="M148" s="70"/>
      <c r="N148" s="70">
        <f>IFERROR(__xludf.DUMMYFUNCTION("IMPORTRANGE(""https://docs.google.com/spreadsheets/d/1Yj_ptqi66GCucihVvJfMjLAmec39IyEx_6qawtMGysU/edit?usp=sharing"",""สบก!BL65"")"),0.0)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IFERROR(__xludf.DUMMYFUNCTION("IMPORTRANGE(""https://docs.google.com/spreadsheets/d/1SX6NBoVAgQJ6U1MVXOaj8PK2l7WJ3RER9xtqwdhxkhw/edit?usp=sharing"",""นครนายก!I74"")"),4.0)</f>
        <v>4</v>
      </c>
      <c r="J149" s="309">
        <f>IFERROR(__xludf.DUMMYFUNCTION("IMPORTRANGE(""https://docs.google.com/spreadsheets/d/1SX6NBoVAgQJ6U1MVXOaj8PK2l7WJ3RER9xtqwdhxkhw/edit?usp=sharing"",""นครนายก!J74"")"),0.0)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IFERROR(__xludf.DUMMYFUNCTION("IMPORTRANGE(""https://docs.google.com/spreadsheets/d/1SX6NBoVAgQJ6U1MVXOaj8PK2l7WJ3RER9xtqwdhxkhw/edit?usp=sharing"",""นครนายก!J79"")"),1.0)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IFERROR(__xludf.DUMMYFUNCTION("IMPORTRANGE(""https://docs.google.com/spreadsheets/d/1SX6NBoVAgQJ6U1MVXOaj8PK2l7WJ3RER9xtqwdhxkhw/edit?usp=sharing"",""นครนายก!J80"")"),0.0)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IFERROR(__xludf.DUMMYFUNCTION("IMPORTRANGE(""https://docs.google.com/spreadsheets/d/1SX6NBoVAgQJ6U1MVXOaj8PK2l7WJ3RER9xtqwdhxkhw/edit?usp=sharing"",""นครนายก!J81"")"),0.0)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IFERROR(__xludf.DUMMYFUNCTION("IMPORTRANGE(""https://docs.google.com/spreadsheets/d/1SX6NBoVAgQJ6U1MVXOaj8PK2l7WJ3RER9xtqwdhxkhw/edit?usp=sharing"",""นครนายก!J82"")"),0.0)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IFERROR(__xludf.DUMMYFUNCTION("IMPORTRANGE(""https://docs.google.com/spreadsheets/d/1SX6NBoVAgQJ6U1MVXOaj8PK2l7WJ3RER9xtqwdhxkhw/edit?usp=sharing"",""นครนายก!I83"")"),4.0)</f>
        <v>4</v>
      </c>
      <c r="J158" s="223">
        <f>IFERROR(__xludf.DUMMYFUNCTION("IMPORTRANGE(""https://docs.google.com/spreadsheets/d/1SX6NBoVAgQJ6U1MVXOaj8PK2l7WJ3RER9xtqwdhxkhw/edit?usp=sharing"",""นครนายก!J83"")"),0.0)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IFERROR(__xludf.DUMMYFUNCTION("IMPORTRANGE(""https://docs.google.com/spreadsheets/d/1SX6NBoVAgQJ6U1MVXOaj8PK2l7WJ3RER9xtqwdhxkhw/edit?usp=sharing"",""นครนายก!J84"")"),0.0)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IFERROR(__xludf.DUMMYFUNCTION("IMPORTRANGE(""https://docs.google.com/spreadsheets/d/1SX6NBoVAgQJ6U1MVXOaj8PK2l7WJ3RER9xtqwdhxkhw/edit?usp=sharing"",""นครนายก!J85"")"),0.0)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IFERROR(__xludf.DUMMYFUNCTION("IMPORTRANGE(""https://docs.google.com/spreadsheets/d/1SX6NBoVAgQJ6U1MVXOaj8PK2l7WJ3RER9xtqwdhxkhw/edit?usp=sharing"",""นครนายก!J86"")"),0.0)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IFERROR(__xludf.DUMMYFUNCTION("IMPORTRANGE(""https://docs.google.com/spreadsheets/d/1SX6NBoVAgQJ6U1MVXOaj8PK2l7WJ3RER9xtqwdhxkhw/edit?usp=sharing"",""นครนายก!J87"")"),0.0)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IFERROR(__xludf.DUMMYFUNCTION("IMPORTRANGE(""https://docs.google.com/spreadsheets/d/1SX6NBoVAgQJ6U1MVXOaj8PK2l7WJ3RER9xtqwdhxkhw/edit?usp=sharing"",""นครนายก!J88"")"),0.0)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IFERROR(__xludf.DUMMYFUNCTION("IMPORTRANGE(""https://docs.google.com/spreadsheets/d/1SX6NBoVAgQJ6U1MVXOaj8PK2l7WJ3RER9xtqwdhxkhw/edit?usp=sharing"",""นครนายก!I89"")"),3.0)</f>
        <v>3</v>
      </c>
      <c r="J164" s="317">
        <f>IFERROR(__xludf.DUMMYFUNCTION("IMPORTRANGE(""https://docs.google.com/spreadsheets/d/1SX6NBoVAgQJ6U1MVXOaj8PK2l7WJ3RER9xtqwdhxkhw/edit?usp=sharing"",""นครนายก!J89"")"),0.0)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IFERROR(__xludf.DUMMYFUNCTION("IMPORTRANGE(""https://docs.google.com/spreadsheets/d/1SX6NBoVAgQJ6U1MVXOaj8PK2l7WJ3RER9xtqwdhxkhw/edit?usp=sharing"",""นครนายก!J94"")"),1.0)</f>
        <v>1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IFERROR(__xludf.DUMMYFUNCTION("IMPORTRANGE(""https://docs.google.com/spreadsheets/d/1SX6NBoVAgQJ6U1MVXOaj8PK2l7WJ3RER9xtqwdhxkhw/edit?usp=sharing"",""นครนายก!J95"")"),0.0)</f>
        <v>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IFERROR(__xludf.DUMMYFUNCTION("IMPORTRANGE(""https://docs.google.com/spreadsheets/d/1SX6NBoVAgQJ6U1MVXOaj8PK2l7WJ3RER9xtqwdhxkhw/edit?usp=sharing"",""นครนายก!J96"")"),0.0)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IFERROR(__xludf.DUMMYFUNCTION("IMPORTRANGE(""https://docs.google.com/spreadsheets/d/1SX6NBoVAgQJ6U1MVXOaj8PK2l7WJ3RER9xtqwdhxkhw/edit?usp=sharing"",""นครนายก!J97"")"),0.0)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IFERROR(__xludf.DUMMYFUNCTION("IMPORTRANGE(""https://docs.google.com/spreadsheets/d/1SX6NBoVAgQJ6U1MVXOaj8PK2l7WJ3RER9xtqwdhxkhw/edit?usp=sharing"",""นครนายก!I98"")"),3.0)</f>
        <v>3</v>
      </c>
      <c r="J173" s="223">
        <f>IFERROR(__xludf.DUMMYFUNCTION("IMPORTRANGE(""https://docs.google.com/spreadsheets/d/1SX6NBoVAgQJ6U1MVXOaj8PK2l7WJ3RER9xtqwdhxkhw/edit?usp=sharing"",""นครนายก!J98"")"),0.0)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IFERROR(__xludf.DUMMYFUNCTION("IMPORTRANGE(""https://docs.google.com/spreadsheets/d/1SX6NBoVAgQJ6U1MVXOaj8PK2l7WJ3RER9xtqwdhxkhw/edit?usp=sharing"",""นครนายก!J99"")"),0.0)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IFERROR(__xludf.DUMMYFUNCTION("IMPORTRANGE(""https://docs.google.com/spreadsheets/d/1SX6NBoVAgQJ6U1MVXOaj8PK2l7WJ3RER9xtqwdhxkhw/edit?usp=sharing"",""นครนายก!J100"")"),0.0)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IFERROR(__xludf.DUMMYFUNCTION("IMPORTRANGE(""https://docs.google.com/spreadsheets/d/1SX6NBoVAgQJ6U1MVXOaj8PK2l7WJ3RER9xtqwdhxkhw/edit?usp=sharing"",""นครนายก!I101"")"),0.0)</f>
        <v>0</v>
      </c>
      <c r="J176" s="317">
        <f>IFERROR(__xludf.DUMMYFUNCTION("IMPORTRANGE(""https://docs.google.com/spreadsheets/d/1SX6NBoVAgQJ6U1MVXOaj8PK2l7WJ3RER9xtqwdhxkhw/edit?usp=sharing"",""นครนายก!J101"")"),0.0)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IFERROR(__xludf.DUMMYFUNCTION("IMPORTRANGE(""https://docs.google.com/spreadsheets/d/1SX6NBoVAgQJ6U1MVXOaj8PK2l7WJ3RER9xtqwdhxkhw/edit?usp=sharing"",""นครนายก!J106"")"),0.0)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IFERROR(__xludf.DUMMYFUNCTION("IMPORTRANGE(""https://docs.google.com/spreadsheets/d/1SX6NBoVAgQJ6U1MVXOaj8PK2l7WJ3RER9xtqwdhxkhw/edit?usp=sharing"",""นครนายก!J107"")"),0.0)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IFERROR(__xludf.DUMMYFUNCTION("IMPORTRANGE(""https://docs.google.com/spreadsheets/d/1SX6NBoVAgQJ6U1MVXOaj8PK2l7WJ3RER9xtqwdhxkhw/edit?usp=sharing"",""นครนายก!J108"")"),0.0)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IFERROR(__xludf.DUMMYFUNCTION("IMPORTRANGE(""https://docs.google.com/spreadsheets/d/1SX6NBoVAgQJ6U1MVXOaj8PK2l7WJ3RER9xtqwdhxkhw/edit?usp=sharing"",""นครนายก!J109"")"),0.0)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IFERROR(__xludf.DUMMYFUNCTION("IMPORTRANGE(""https://docs.google.com/spreadsheets/d/1SX6NBoVAgQJ6U1MVXOaj8PK2l7WJ3RER9xtqwdhxkhw/edit?usp=sharing"",""นครนายก!I110"")"),0.0)</f>
        <v>0</v>
      </c>
      <c r="J185" s="238">
        <f>IFERROR(__xludf.DUMMYFUNCTION("IMPORTRANGE(""https://docs.google.com/spreadsheets/d/1SX6NBoVAgQJ6U1MVXOaj8PK2l7WJ3RER9xtqwdhxkhw/edit?usp=sharing"",""นครนายก!J110"")"),0.0)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IFERROR(__xludf.DUMMYFUNCTION("IMPORTRANGE(""https://docs.google.com/spreadsheets/d/1SX6NBoVAgQJ6U1MVXOaj8PK2l7WJ3RER9xtqwdhxkhw/edit?usp=sharing"",""นครนายก!I111"")"),0.0)</f>
        <v>0</v>
      </c>
      <c r="J186" s="238">
        <f>IFERROR(__xludf.DUMMYFUNCTION("IMPORTRANGE(""https://docs.google.com/spreadsheets/d/1SX6NBoVAgQJ6U1MVXOaj8PK2l7WJ3RER9xtqwdhxkhw/edit?usp=sharing"",""นครนายก!J111"")"),0.0)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IFERROR(__xludf.DUMMYFUNCTION("IMPORTRANGE(""https://docs.google.com/spreadsheets/d/1SX6NBoVAgQJ6U1MVXOaj8PK2l7WJ3RER9xtqwdhxkhw/edit?usp=sharing"",""นครนายก!J112"")"),0.0)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IFERROR(__xludf.DUMMYFUNCTION("IMPORTRANGE(""https://docs.google.com/spreadsheets/d/1SX6NBoVAgQJ6U1MVXOaj8PK2l7WJ3RER9xtqwdhxkhw/edit?usp=sharing"",""นครนายก!J113"")"),0.0)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IFERROR(__xludf.DUMMYFUNCTION("IMPORTRANGE(""https://docs.google.com/spreadsheets/d/1SX6NBoVAgQJ6U1MVXOaj8PK2l7WJ3RER9xtqwdhxkhw/edit?usp=sharing"",""นครนายก!I114"")"),30000.0)</f>
        <v>30000</v>
      </c>
      <c r="J189" s="317">
        <f>IFERROR(__xludf.DUMMYFUNCTION("IMPORTRANGE(""https://docs.google.com/spreadsheets/d/1SX6NBoVAgQJ6U1MVXOaj8PK2l7WJ3RER9xtqwdhxkhw/edit?usp=sharing"",""นครนายก!J114"")"),0.0)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IFERROR(__xludf.DUMMYFUNCTION("IMPORTRANGE(""https://docs.google.com/spreadsheets/d/1SX6NBoVAgQJ6U1MVXOaj8PK2l7WJ3RER9xtqwdhxkhw/edit?usp=sharing"",""นครนายก!J119"")"),1.0)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IFERROR(__xludf.DUMMYFUNCTION("IMPORTRANGE(""https://docs.google.com/spreadsheets/d/1SX6NBoVAgQJ6U1MVXOaj8PK2l7WJ3RER9xtqwdhxkhw/edit?usp=sharing"",""นครนายก!J120"")"),0.0)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IFERROR(__xludf.DUMMYFUNCTION("IMPORTRANGE(""https://docs.google.com/spreadsheets/d/1SX6NBoVAgQJ6U1MVXOaj8PK2l7WJ3RER9xtqwdhxkhw/edit?usp=sharing"",""นครนายก!J121"")"),0.0)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IFERROR(__xludf.DUMMYFUNCTION("IMPORTRANGE(""https://docs.google.com/spreadsheets/d/1SX6NBoVAgQJ6U1MVXOaj8PK2l7WJ3RER9xtqwdhxkhw/edit?usp=sharing"",""นครนายก!J122"")"),0.0)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IFERROR(__xludf.DUMMYFUNCTION("IMPORTRANGE(""https://docs.google.com/spreadsheets/d/1SX6NBoVAgQJ6U1MVXOaj8PK2l7WJ3RER9xtqwdhxkhw/edit?usp=sharing"",""นครนายก!I124"")"),30000.0)</f>
        <v>30000</v>
      </c>
      <c r="J199" s="223">
        <f>IFERROR(__xludf.DUMMYFUNCTION("IMPORTRANGE(""https://docs.google.com/spreadsheets/d/1SX6NBoVAgQJ6U1MVXOaj8PK2l7WJ3RER9xtqwdhxkhw/edit?usp=sharing"",""นครนายก!J124"")"),0.0)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IFERROR(__xludf.DUMMYFUNCTION("IMPORTRANGE(""https://docs.google.com/spreadsheets/d/1SX6NBoVAgQJ6U1MVXOaj8PK2l7WJ3RER9xtqwdhxkhw/edit?usp=sharing"",""นครนายก!I125"")"),30000.0)</f>
        <v>30000</v>
      </c>
      <c r="J200" s="223">
        <f>IFERROR(__xludf.DUMMYFUNCTION("IMPORTRANGE(""https://docs.google.com/spreadsheets/d/1SX6NBoVAgQJ6U1MVXOaj8PK2l7WJ3RER9xtqwdhxkhw/edit?usp=sharing"",""นครนายก!J125"")"),0.0)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IFERROR(__xludf.DUMMYFUNCTION("IMPORTRANGE(""https://docs.google.com/spreadsheets/d/1SX6NBoVAgQJ6U1MVXOaj8PK2l7WJ3RER9xtqwdhxkhw/edit?usp=sharing"",""นครนายก!I126"")"),0.0)</f>
        <v>0</v>
      </c>
      <c r="J201" s="223">
        <f>IFERROR(__xludf.DUMMYFUNCTION("IMPORTRANGE(""https://docs.google.com/spreadsheets/d/1SX6NBoVAgQJ6U1MVXOaj8PK2l7WJ3RER9xtqwdhxkhw/edit?usp=sharing"",""นครนายก!J126"")"),0.0)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IFERROR(__xludf.DUMMYFUNCTION("IMPORTRANGE(""https://docs.google.com/spreadsheets/d/1SX6NBoVAgQJ6U1MVXOaj8PK2l7WJ3RER9xtqwdhxkhw/edit?usp=sharing"",""นครนายก!J127"")"),0.0)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IFERROR(__xludf.DUMMYFUNCTION("IMPORTRANGE(""https://docs.google.com/spreadsheets/d/1SX6NBoVAgQJ6U1MVXOaj8PK2l7WJ3RER9xtqwdhxkhw/edit?usp=sharing"",""นครนายก!J128"")"),0.0)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IFERROR(__xludf.DUMMYFUNCTION("IMPORTRANGE(""https://docs.google.com/spreadsheets/d/1SX6NBoVAgQJ6U1MVXOaj8PK2l7WJ3RER9xtqwdhxkhw/edit?usp=sharing"",""นครนายก!I129"")"),20.0)</f>
        <v>20</v>
      </c>
      <c r="J204" s="317">
        <f>IFERROR(__xludf.DUMMYFUNCTION("IMPORTRANGE(""https://docs.google.com/spreadsheets/d/1SX6NBoVAgQJ6U1MVXOaj8PK2l7WJ3RER9xtqwdhxkhw/edit?usp=sharing"",""นครนายก!J129"")"),0.0)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IFERROR(__xludf.DUMMYFUNCTION("IMPORTRANGE(""https://docs.google.com/spreadsheets/d/1SX6NBoVAgQJ6U1MVXOaj8PK2l7WJ3RER9xtqwdhxkhw/edit?usp=sharing"",""นครนายก!J134"")"),0.0)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IFERROR(__xludf.DUMMYFUNCTION("IMPORTRANGE(""https://docs.google.com/spreadsheets/d/1SX6NBoVAgQJ6U1MVXOaj8PK2l7WJ3RER9xtqwdhxkhw/edit?usp=sharing"",""นครนายก!J135"")"),1.0)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IFERROR(__xludf.DUMMYFUNCTION("IMPORTRANGE(""https://docs.google.com/spreadsheets/d/1SX6NBoVAgQJ6U1MVXOaj8PK2l7WJ3RER9xtqwdhxkhw/edit?usp=sharing"",""นครนายก!J136"")"),0.0)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IFERROR(__xludf.DUMMYFUNCTION("IMPORTRANGE(""https://docs.google.com/spreadsheets/d/1SX6NBoVAgQJ6U1MVXOaj8PK2l7WJ3RER9xtqwdhxkhw/edit?usp=sharing"",""นครนายก!J137"")"),0.0)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IFERROR(__xludf.DUMMYFUNCTION("IMPORTRANGE(""https://docs.google.com/spreadsheets/d/1SX6NBoVAgQJ6U1MVXOaj8PK2l7WJ3RER9xtqwdhxkhw/edit?usp=sharing"",""นครนายก!I138"")"),20.0)</f>
        <v>20</v>
      </c>
      <c r="J213" s="238">
        <f>IFERROR(__xludf.DUMMYFUNCTION("IMPORTRANGE(""https://docs.google.com/spreadsheets/d/1SX6NBoVAgQJ6U1MVXOaj8PK2l7WJ3RER9xtqwdhxkhw/edit?usp=sharing"",""นครนายก!J138"")"),0.0)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IFERROR(__xludf.DUMMYFUNCTION("IMPORTRANGE(""https://docs.google.com/spreadsheets/d/1SX6NBoVAgQJ6U1MVXOaj8PK2l7WJ3RER9xtqwdhxkhw/edit?usp=sharing"",""นครนายก!I140"")"),0.0)</f>
        <v>0</v>
      </c>
      <c r="J215" s="238">
        <f>IFERROR(__xludf.DUMMYFUNCTION("IMPORTRANGE(""https://docs.google.com/spreadsheets/d/1SX6NBoVAgQJ6U1MVXOaj8PK2l7WJ3RER9xtqwdhxkhw/edit?usp=sharing"",""นครนายก!J140"")"),0.0)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IFERROR(__xludf.DUMMYFUNCTION("IMPORTRANGE(""https://docs.google.com/spreadsheets/d/1SX6NBoVAgQJ6U1MVXOaj8PK2l7WJ3RER9xtqwdhxkhw/edit?usp=sharing"",""นครนายก!I141"")"),1.0)</f>
        <v>1</v>
      </c>
      <c r="J216" s="238">
        <f>IFERROR(__xludf.DUMMYFUNCTION("IMPORTRANGE(""https://docs.google.com/spreadsheets/d/1SX6NBoVAgQJ6U1MVXOaj8PK2l7WJ3RER9xtqwdhxkhw/edit?usp=sharing"",""นครนายก!J141"")"),0.0)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IFERROR(__xludf.DUMMYFUNCTION("IMPORTRANGE(""https://docs.google.com/spreadsheets/d/1SX6NBoVAgQJ6U1MVXOaj8PK2l7WJ3RER9xtqwdhxkhw/edit?usp=sharing"",""นครนายก!J142"")"),0.0)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IFERROR(__xludf.DUMMYFUNCTION("IMPORTRANGE(""https://docs.google.com/spreadsheets/d/1SX6NBoVAgQJ6U1MVXOaj8PK2l7WJ3RER9xtqwdhxkhw/edit?usp=sharing"",""นครนายก!J143"")"),0.0)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IFERROR(__xludf.DUMMYFUNCTION("IMPORTRANGE(""https://docs.google.com/spreadsheets/d/1SX6NBoVAgQJ6U1MVXOaj8PK2l7WJ3RER9xtqwdhxkhw/edit?usp=sharing"",""นครนายก!I144"")"),0.0)</f>
        <v>0</v>
      </c>
      <c r="J219" s="301">
        <f>IFERROR(__xludf.DUMMYFUNCTION("IMPORTRANGE(""https://docs.google.com/spreadsheets/d/1SX6NBoVAgQJ6U1MVXOaj8PK2l7WJ3RER9xtqwdhxkhw/edit?usp=sharing"",""นครนายก!J144"")"),0.0)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0</v>
      </c>
      <c r="M220" s="183">
        <f t="shared" si="73"/>
        <v>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0</v>
      </c>
      <c r="M222" s="188">
        <f t="shared" si="77"/>
        <v>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0</v>
      </c>
      <c r="M224" s="200">
        <f>IFERROR(__xludf.DUMMYFUNCTION("IMPORTRANGE(""https://docs.google.com/spreadsheets/d/1Yj_ptqi66GCucihVvJfMjLAmec39IyEx_6qawtMGysU/edit?usp=sharing"",""สบก!BS65"")"),0.0)</f>
        <v>0</v>
      </c>
      <c r="N224" s="203">
        <f>IFERROR(__xludf.DUMMYFUNCTION("IMPORTRANGE(""https://docs.google.com/spreadsheets/d/1Yj_ptqi66GCucihVvJfMjLAmec39IyEx_6qawtMGysU/edit?usp=sharing"",""สบก!BT65"")"),0.0)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IFERROR(__xludf.DUMMYFUNCTION("IMPORTRANGE(""https://docs.google.com/spreadsheets/d/1Yj_ptqi66GCucihVvJfMjLAmec39IyEx_6qawtMGysU/edit?usp=sharing"",""สบก!BO65"")"),0.0)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IFERROR(__xludf.DUMMYFUNCTION("IMPORTRANGE(""https://docs.google.com/spreadsheets/d/1Yj_ptqi66GCucihVvJfMjLAmec39IyEx_6qawtMGysU/edit?usp=sharing"",""สบก!BP65"")"),0.0)</f>
        <v>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IFERROR(__xludf.DUMMYFUNCTION("IMPORTRANGE(""https://docs.google.com/spreadsheets/d/1Yj_ptqi66GCucihVvJfMjLAmec39IyEx_6qawtMGysU/edit?usp=sharing"",""สบก!BQ65"")"),0.0)</f>
        <v>0</v>
      </c>
      <c r="M228" s="70"/>
      <c r="N228" s="70">
        <f>IFERROR(__xludf.DUMMYFUNCTION("IMPORTRANGE(""https://docs.google.com/spreadsheets/d/1Yj_ptqi66GCucihVvJfMjLAmec39IyEx_6qawtMGysU/edit?usp=sharing"",""สบก!BU65"")"),0.0)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IFERROR(__xludf.DUMMYFUNCTION("IMPORTRANGE(""https://docs.google.com/spreadsheets/d/1SX6NBoVAgQJ6U1MVXOaj8PK2l7WJ3RER9xtqwdhxkhw/edit?usp=sharing"",""นครนายก!I149"")"),0.0)</f>
        <v>0</v>
      </c>
      <c r="J229" s="301">
        <f>IFERROR(__xludf.DUMMYFUNCTION("IMPORTRANGE(""https://docs.google.com/spreadsheets/d/1SX6NBoVAgQJ6U1MVXOaj8PK2l7WJ3RER9xtqwdhxkhw/edit?usp=sharing"",""นครนายก!J149"")"),0.0)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IFERROR(__xludf.DUMMYFUNCTION("IMPORTRANGE(""https://docs.google.com/spreadsheets/d/1SX6NBoVAgQJ6U1MVXOaj8PK2l7WJ3RER9xtqwdhxkhw/edit?usp=sharing"",""นครนายก!J151"")"),0.0)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IFERROR(__xludf.DUMMYFUNCTION("IMPORTRANGE(""https://docs.google.com/spreadsheets/d/1SX6NBoVAgQJ6U1MVXOaj8PK2l7WJ3RER9xtqwdhxkhw/edit?usp=sharing"",""นครนายก!J152"")"),0.0)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IFERROR(__xludf.DUMMYFUNCTION("IMPORTRANGE(""https://docs.google.com/spreadsheets/d/1SX6NBoVAgQJ6U1MVXOaj8PK2l7WJ3RER9xtqwdhxkhw/edit?usp=sharing"",""นครนายก!J153"")"),0.0)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IFERROR(__xludf.DUMMYFUNCTION("IMPORTRANGE(""https://docs.google.com/spreadsheets/d/1SX6NBoVAgQJ6U1MVXOaj8PK2l7WJ3RER9xtqwdhxkhw/edit?usp=sharing"",""นครนายก!J154"")"),0.0)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IFERROR(__xludf.DUMMYFUNCTION("IMPORTRANGE(""https://docs.google.com/spreadsheets/d/1SX6NBoVAgQJ6U1MVXOaj8PK2l7WJ3RER9xtqwdhxkhw/edit?usp=sharing"",""นครนายก!I155"")"),0.0)</f>
        <v>0</v>
      </c>
      <c r="J235" s="223">
        <f>IFERROR(__xludf.DUMMYFUNCTION("IMPORTRANGE(""https://docs.google.com/spreadsheets/d/1SX6NBoVAgQJ6U1MVXOaj8PK2l7WJ3RER9xtqwdhxkhw/edit?usp=sharing"",""นครนายก!J155"")"),0.0)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IFERROR(__xludf.DUMMYFUNCTION("IMPORTRANGE(""https://docs.google.com/spreadsheets/d/1SX6NBoVAgQJ6U1MVXOaj8PK2l7WJ3RER9xtqwdhxkhw/edit?usp=sharing"",""นครนายก!J156"")"),0.0)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IFERROR(__xludf.DUMMYFUNCTION("IMPORTRANGE(""https://docs.google.com/spreadsheets/d/1SX6NBoVAgQJ6U1MVXOaj8PK2l7WJ3RER9xtqwdhxkhw/edit?usp=sharing"",""นครนายก!J157"")"),0.0)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IFERROR(__xludf.DUMMYFUNCTION("IMPORTRANGE(""https://docs.google.com/spreadsheets/d/1SX6NBoVAgQJ6U1MVXOaj8PK2l7WJ3RER9xtqwdhxkhw/edit?usp=sharing"",""นครนายก!I158"")"),0.0)</f>
        <v>0</v>
      </c>
      <c r="J238" s="301">
        <f>IFERROR(__xludf.DUMMYFUNCTION("IMPORTRANGE(""https://docs.google.com/spreadsheets/d/1SX6NBoVAgQJ6U1MVXOaj8PK2l7WJ3RER9xtqwdhxkhw/edit?usp=sharing"",""นครนายก!J158"")"),0.0)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IFERROR(__xludf.DUMMYFUNCTION("IMPORTRANGE(""https://docs.google.com/spreadsheets/d/1SX6NBoVAgQJ6U1MVXOaj8PK2l7WJ3RER9xtqwdhxkhw/edit?usp=sharing"",""นครนายก!J159"")"),"")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IFERROR(__xludf.DUMMYFUNCTION("IMPORTRANGE(""https://docs.google.com/spreadsheets/d/1SX6NBoVAgQJ6U1MVXOaj8PK2l7WJ3RER9xtqwdhxkhw/edit?usp=sharing"",""นครนายก!J161"")"),0.0)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IFERROR(__xludf.DUMMYFUNCTION("IMPORTRANGE(""https://docs.google.com/spreadsheets/d/1SX6NBoVAgQJ6U1MVXOaj8PK2l7WJ3RER9xtqwdhxkhw/edit?usp=sharing"",""นครนายก!J162"")"),0.0)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IFERROR(__xludf.DUMMYFUNCTION("IMPORTRANGE(""https://docs.google.com/spreadsheets/d/1SX6NBoVAgQJ6U1MVXOaj8PK2l7WJ3RER9xtqwdhxkhw/edit?usp=sharing"",""นครนายก!J163"")"),0.0)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IFERROR(__xludf.DUMMYFUNCTION("IMPORTRANGE(""https://docs.google.com/spreadsheets/d/1SX6NBoVAgQJ6U1MVXOaj8PK2l7WJ3RER9xtqwdhxkhw/edit?usp=sharing"",""นครนายก!I164"")"),0.0)</f>
        <v>0</v>
      </c>
      <c r="J244" s="222">
        <f>IFERROR(__xludf.DUMMYFUNCTION("IMPORTRANGE(""https://docs.google.com/spreadsheets/d/1SX6NBoVAgQJ6U1MVXOaj8PK2l7WJ3RER9xtqwdhxkhw/edit?usp=sharing"",""นครนายก!J164"")"),0.0)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IFERROR(__xludf.DUMMYFUNCTION("IMPORTRANGE(""https://docs.google.com/spreadsheets/d/1SX6NBoVAgQJ6U1MVXOaj8PK2l7WJ3RER9xtqwdhxkhw/edit?usp=sharing"",""นครนายก!J165"")"),0.0)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IFERROR(__xludf.DUMMYFUNCTION("IMPORTRANGE(""https://docs.google.com/spreadsheets/d/1SX6NBoVAgQJ6U1MVXOaj8PK2l7WJ3RER9xtqwdhxkhw/edit?usp=sharing"",""นครนายก!J166"")"),0.0)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IFERROR(__xludf.DUMMYFUNCTION("IMPORTRANGE(""https://docs.google.com/spreadsheets/d/1SX6NBoVAgQJ6U1MVXOaj8PK2l7WJ3RER9xtqwdhxkhw/edit?usp=sharing"",""นครนายก!I169"")"),0.0)</f>
        <v>0</v>
      </c>
      <c r="J249" s="349">
        <f>IFERROR(__xludf.DUMMYFUNCTION("IMPORTRANGE(""https://docs.google.com/spreadsheets/d/1SX6NBoVAgQJ6U1MVXOaj8PK2l7WJ3RER9xtqwdhxkhw/edit?usp=sharing"",""นครนายก!J169"")"),0.0)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IFERROR(__xludf.DUMMYFUNCTION("IMPORTRANGE(""https://docs.google.com/spreadsheets/d/1Yj_ptqi66GCucihVvJfMjLAmec39IyEx_6qawtMGysU/edit?usp=sharing"",""สบก!CB65"")"),0.0)</f>
        <v>0</v>
      </c>
      <c r="N254" s="203">
        <f>IFERROR(__xludf.DUMMYFUNCTION("IMPORTRANGE(""https://docs.google.com/spreadsheets/d/1Yj_ptqi66GCucihVvJfMjLAmec39IyEx_6qawtMGysU/edit?usp=sharing"",""สบก!CC65"")"),0.0)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IFERROR(__xludf.DUMMYFUNCTION("IMPORTRANGE(""https://docs.google.com/spreadsheets/d/1Yj_ptqi66GCucihVvJfMjLAmec39IyEx_6qawtMGysU/edit?usp=sharing"",""สบก!BX65"")"),0.0)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IFERROR(__xludf.DUMMYFUNCTION("IMPORTRANGE(""https://docs.google.com/spreadsheets/d/1Yj_ptqi66GCucihVvJfMjLAmec39IyEx_6qawtMGysU/edit?usp=sharing"",""สบก!BY65"")"),0.0)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IFERROR(__xludf.DUMMYFUNCTION("IMPORTRANGE(""https://docs.google.com/spreadsheets/d/1Yj_ptqi66GCucihVvJfMjLAmec39IyEx_6qawtMGysU/edit?usp=sharing"",""สบก!BZ65"")"),0.0)</f>
        <v>0</v>
      </c>
      <c r="M258" s="70"/>
      <c r="N258" s="70">
        <f>IFERROR(__xludf.DUMMYFUNCTION("IMPORTRANGE(""https://docs.google.com/spreadsheets/d/1Yj_ptqi66GCucihVvJfMjLAmec39IyEx_6qawtMGysU/edit?usp=sharing"",""สบก!CD65"")"),0.0)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IFERROR(__xludf.DUMMYFUNCTION("IMPORTRANGE(""https://docs.google.com/spreadsheets/d/1SX6NBoVAgQJ6U1MVXOaj8PK2l7WJ3RER9xtqwdhxkhw/edit?usp=sharing"",""นครนายก!J175"")"),0.0)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IFERROR(__xludf.DUMMYFUNCTION("IMPORTRANGE(""https://docs.google.com/spreadsheets/d/1SX6NBoVAgQJ6U1MVXOaj8PK2l7WJ3RER9xtqwdhxkhw/edit?usp=sharing"",""นครนายก!J176"")"),0.0)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IFERROR(__xludf.DUMMYFUNCTION("IMPORTRANGE(""https://docs.google.com/spreadsheets/d/1SX6NBoVAgQJ6U1MVXOaj8PK2l7WJ3RER9xtqwdhxkhw/edit?usp=sharing"",""นครนายก!J177"")"),0.0)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IFERROR(__xludf.DUMMYFUNCTION("IMPORTRANGE(""https://docs.google.com/spreadsheets/d/1SX6NBoVAgQJ6U1MVXOaj8PK2l7WJ3RER9xtqwdhxkhw/edit?usp=sharing"",""นครนายก!J178"")"),0.0)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IFERROR(__xludf.DUMMYFUNCTION("IMPORTRANGE(""https://docs.google.com/spreadsheets/d/1SX6NBoVAgQJ6U1MVXOaj8PK2l7WJ3RER9xtqwdhxkhw/edit?usp=sharing"",""นครนายก!I179"")"),0.0)</f>
        <v>0</v>
      </c>
      <c r="J264" s="223">
        <f>IFERROR(__xludf.DUMMYFUNCTION("IMPORTRANGE(""https://docs.google.com/spreadsheets/d/1SX6NBoVAgQJ6U1MVXOaj8PK2l7WJ3RER9xtqwdhxkhw/edit?usp=sharing"",""นครนายก!J179"")"),0.0)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IFERROR(__xludf.DUMMYFUNCTION("IMPORTRANGE(""https://docs.google.com/spreadsheets/d/1SX6NBoVAgQJ6U1MVXOaj8PK2l7WJ3RER9xtqwdhxkhw/edit?usp=sharing"",""นครนายก!I180"")"),0.0)</f>
        <v>0</v>
      </c>
      <c r="J265" s="223">
        <f>IFERROR(__xludf.DUMMYFUNCTION("IMPORTRANGE(""https://docs.google.com/spreadsheets/d/1SX6NBoVAgQJ6U1MVXOaj8PK2l7WJ3RER9xtqwdhxkhw/edit?usp=sharing"",""นครนายก!J180"")"),0.0)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IFERROR(__xludf.DUMMYFUNCTION("IMPORTRANGE(""https://docs.google.com/spreadsheets/d/1SX6NBoVAgQJ6U1MVXOaj8PK2l7WJ3RER9xtqwdhxkhw/edit?usp=sharing"",""นครนายก!I181"")"),0.0)</f>
        <v>0</v>
      </c>
      <c r="J266" s="223">
        <f>IFERROR(__xludf.DUMMYFUNCTION("IMPORTRANGE(""https://docs.google.com/spreadsheets/d/1SX6NBoVAgQJ6U1MVXOaj8PK2l7WJ3RER9xtqwdhxkhw/edit?usp=sharing"",""นครนายก!J181"")"),0.0)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IFERROR(__xludf.DUMMYFUNCTION("IMPORTRANGE(""https://docs.google.com/spreadsheets/d/1SX6NBoVAgQJ6U1MVXOaj8PK2l7WJ3RER9xtqwdhxkhw/edit?usp=sharing"",""นครนายก!I182"")"),0.0)</f>
        <v>0</v>
      </c>
      <c r="J267" s="223">
        <f>IFERROR(__xludf.DUMMYFUNCTION("IMPORTRANGE(""https://docs.google.com/spreadsheets/d/1SX6NBoVAgQJ6U1MVXOaj8PK2l7WJ3RER9xtqwdhxkhw/edit?usp=sharing"",""นครนายก!J182"")"),0.0)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IFERROR(__xludf.DUMMYFUNCTION("IMPORTRANGE(""https://docs.google.com/spreadsheets/d/1SX6NBoVAgQJ6U1MVXOaj8PK2l7WJ3RER9xtqwdhxkhw/edit?usp=sharing"",""นครนายก!J183"")"),0.0)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IFERROR(__xludf.DUMMYFUNCTION("IMPORTRANGE(""https://docs.google.com/spreadsheets/d/1SX6NBoVAgQJ6U1MVXOaj8PK2l7WJ3RER9xtqwdhxkhw/edit?usp=sharing"",""นครนายก!J184"")"),0.0)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IFERROR(__xludf.DUMMYFUNCTION("IMPORTRANGE(""https://docs.google.com/spreadsheets/d/1SX6NBoVAgQJ6U1MVXOaj8PK2l7WJ3RER9xtqwdhxkhw/edit?usp=sharing"",""นครนายก!I185"")"),15.0)</f>
        <v>15</v>
      </c>
      <c r="J270" s="349">
        <f>IFERROR(__xludf.DUMMYFUNCTION("IMPORTRANGE(""https://docs.google.com/spreadsheets/d/1SX6NBoVAgQJ6U1MVXOaj8PK2l7WJ3RER9xtqwdhxkhw/edit?usp=sharing"",""นครนายก!J185"")"),0.0)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0">
        <f>IFERROR(__xludf.DUMMYFUNCTION("IMPORTRANGE(""https://docs.google.com/spreadsheets/d/1Yj_ptqi66GCucihVvJfMjLAmec39IyEx_6qawtMGysU/edit?usp=sharing"",""สบก!CK65"")"),32250.0)</f>
        <v>32250</v>
      </c>
      <c r="N275" s="203">
        <f>IFERROR(__xludf.DUMMYFUNCTION("IMPORTRANGE(""https://docs.google.com/spreadsheets/d/1Yj_ptqi66GCucihVvJfMjLAmec39IyEx_6qawtMGysU/edit?usp=sharing"",""สบก!CL65"")"),0.0)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IFERROR(__xludf.DUMMYFUNCTION("IMPORTRANGE(""https://docs.google.com/spreadsheets/d/1Yj_ptqi66GCucihVvJfMjLAmec39IyEx_6qawtMGysU/edit?usp=sharing"",""สบก!CG65"")"),0.0)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IFERROR(__xludf.DUMMYFUNCTION("IMPORTRANGE(""https://docs.google.com/spreadsheets/d/1Yj_ptqi66GCucihVvJfMjLAmec39IyEx_6qawtMGysU/edit?usp=sharing"",""สบก!CH65"")"),55200.0)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IFERROR(__xludf.DUMMYFUNCTION("IMPORTRANGE(""https://docs.google.com/spreadsheets/d/1Yj_ptqi66GCucihVvJfMjLAmec39IyEx_6qawtMGysU/edit?usp=sharing"",""สบก!CI65"")"),0.0)</f>
        <v>0</v>
      </c>
      <c r="M279" s="70"/>
      <c r="N279" s="70">
        <f>IFERROR(__xludf.DUMMYFUNCTION("IMPORTRANGE(""https://docs.google.com/spreadsheets/d/1Yj_ptqi66GCucihVvJfMjLAmec39IyEx_6qawtMGysU/edit?usp=sharing"",""สบก!CM65"")"),0.0)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IFERROR(__xludf.DUMMYFUNCTION("IMPORTRANGE(""https://docs.google.com/spreadsheets/d/1SX6NBoVAgQJ6U1MVXOaj8PK2l7WJ3RER9xtqwdhxkhw/edit?usp=sharing"",""นครนายก!J191"")"),0.0)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IFERROR(__xludf.DUMMYFUNCTION("IMPORTRANGE(""https://docs.google.com/spreadsheets/d/1SX6NBoVAgQJ6U1MVXOaj8PK2l7WJ3RER9xtqwdhxkhw/edit?usp=sharing"",""นครนายก!J192"")"),1.0)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IFERROR(__xludf.DUMMYFUNCTION("IMPORTRANGE(""https://docs.google.com/spreadsheets/d/1SX6NBoVAgQJ6U1MVXOaj8PK2l7WJ3RER9xtqwdhxkhw/edit?usp=sharing"",""นครนายก!J193"")"),0.0)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IFERROR(__xludf.DUMMYFUNCTION("IMPORTRANGE(""https://docs.google.com/spreadsheets/d/1SX6NBoVAgQJ6U1MVXOaj8PK2l7WJ3RER9xtqwdhxkhw/edit?usp=sharing"",""นครนายก!J194"")"),0.0)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IFERROR(__xludf.DUMMYFUNCTION("IMPORTRANGE(""https://docs.google.com/spreadsheets/d/1SX6NBoVAgQJ6U1MVXOaj8PK2l7WJ3RER9xtqwdhxkhw/edit?usp=sharing"",""นครนายก!I195"")"),15.0)</f>
        <v>15</v>
      </c>
      <c r="J285" s="223">
        <f>IFERROR(__xludf.DUMMYFUNCTION("IMPORTRANGE(""https://docs.google.com/spreadsheets/d/1SX6NBoVAgQJ6U1MVXOaj8PK2l7WJ3RER9xtqwdhxkhw/edit?usp=sharing"",""นครนายก!J195"")"),0.0)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IFERROR(__xludf.DUMMYFUNCTION("IMPORTRANGE(""https://docs.google.com/spreadsheets/d/1SX6NBoVAgQJ6U1MVXOaj8PK2l7WJ3RER9xtqwdhxkhw/edit?usp=sharing"",""นครนายก!J196"")"),0.0)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IFERROR(__xludf.DUMMYFUNCTION("IMPORTRANGE(""https://docs.google.com/spreadsheets/d/1SX6NBoVAgQJ6U1MVXOaj8PK2l7WJ3RER9xtqwdhxkhw/edit?usp=sharing"",""นครนายก!J197"")"),0.0)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IFERROR(__xludf.DUMMYFUNCTION("IMPORTRANGE(""https://docs.google.com/spreadsheets/d/1SX6NBoVAgQJ6U1MVXOaj8PK2l7WJ3RER9xtqwdhxkhw/edit?usp=sharing"",""นครนายก!I199"")"),0.0)</f>
        <v>0</v>
      </c>
      <c r="J289" s="349">
        <f>IFERROR(__xludf.DUMMYFUNCTION("IMPORTRANGE(""https://docs.google.com/spreadsheets/d/1SX6NBoVAgQJ6U1MVXOaj8PK2l7WJ3RER9xtqwdhxkhw/edit?usp=sharing"",""นครนายก!J199"")"),0.0)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IFERROR(__xludf.DUMMYFUNCTION("IMPORTRANGE(""https://docs.google.com/spreadsheets/d/1Yj_ptqi66GCucihVvJfMjLAmec39IyEx_6qawtMGysU/edit?usp=sharing"",""สบก!CT65"")"),0.0)</f>
        <v>0</v>
      </c>
      <c r="N294" s="203">
        <f>IFERROR(__xludf.DUMMYFUNCTION("IMPORTRANGE(""https://docs.google.com/spreadsheets/d/1Yj_ptqi66GCucihVvJfMjLAmec39IyEx_6qawtMGysU/edit?usp=sharing"",""สบก!CU65"")"),0.0)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IFERROR(__xludf.DUMMYFUNCTION("IMPORTRANGE(""https://docs.google.com/spreadsheets/d/1Yj_ptqi66GCucihVvJfMjLAmec39IyEx_6qawtMGysU/edit?usp=sharing"",""สบก!CP65"")"),0.0)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IFERROR(__xludf.DUMMYFUNCTION("IMPORTRANGE(""https://docs.google.com/spreadsheets/d/1Yj_ptqi66GCucihVvJfMjLAmec39IyEx_6qawtMGysU/edit?usp=sharing"",""สบก!CQ65"")"),0.0)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IFERROR(__xludf.DUMMYFUNCTION("IMPORTRANGE(""https://docs.google.com/spreadsheets/d/1Yj_ptqi66GCucihVvJfMjLAmec39IyEx_6qawtMGysU/edit?usp=sharing"",""สบก!CR65"")"),0.0)</f>
        <v>0</v>
      </c>
      <c r="M298" s="70"/>
      <c r="N298" s="70">
        <f>IFERROR(__xludf.DUMMYFUNCTION("IMPORTRANGE(""https://docs.google.com/spreadsheets/d/1Yj_ptqi66GCucihVvJfMjLAmec39IyEx_6qawtMGysU/edit?usp=sharing"",""สบก!CV65"")"),0.0)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IFERROR(__xludf.DUMMYFUNCTION("IMPORTRANGE(""https://docs.google.com/spreadsheets/d/1SX6NBoVAgQJ6U1MVXOaj8PK2l7WJ3RER9xtqwdhxkhw/edit?usp=sharing"",""นครนายก!J205"")"),0.0)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IFERROR(__xludf.DUMMYFUNCTION("IMPORTRANGE(""https://docs.google.com/spreadsheets/d/1SX6NBoVAgQJ6U1MVXOaj8PK2l7WJ3RER9xtqwdhxkhw/edit?usp=sharing"",""นครนายก!J206"")"),0.0)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IFERROR(__xludf.DUMMYFUNCTION("IMPORTRANGE(""https://docs.google.com/spreadsheets/d/1SX6NBoVAgQJ6U1MVXOaj8PK2l7WJ3RER9xtqwdhxkhw/edit?usp=sharing"",""นครนายก!J207"")"),0.0)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IFERROR(__xludf.DUMMYFUNCTION("IMPORTRANGE(""https://docs.google.com/spreadsheets/d/1SX6NBoVAgQJ6U1MVXOaj8PK2l7WJ3RER9xtqwdhxkhw/edit?usp=sharing"",""นครนายก!J208"")"),0.0)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IFERROR(__xludf.DUMMYFUNCTION("IMPORTRANGE(""https://docs.google.com/spreadsheets/d/1SX6NBoVAgQJ6U1MVXOaj8PK2l7WJ3RER9xtqwdhxkhw/edit?usp=sharing"",""นครนายก!I209"")"),0.0)</f>
        <v>0</v>
      </c>
      <c r="J304" s="238">
        <f>IFERROR(__xludf.DUMMYFUNCTION("IMPORTRANGE(""https://docs.google.com/spreadsheets/d/1SX6NBoVAgQJ6U1MVXOaj8PK2l7WJ3RER9xtqwdhxkhw/edit?usp=sharing"",""นครนายก!J209"")"),0.0)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IFERROR(__xludf.DUMMYFUNCTION("IMPORTRANGE(""https://docs.google.com/spreadsheets/d/1SX6NBoVAgQJ6U1MVXOaj8PK2l7WJ3RER9xtqwdhxkhw/edit?usp=sharing"",""นครนายก!I211"")"),0.0)</f>
        <v>0</v>
      </c>
      <c r="J306" s="238">
        <f>IFERROR(__xludf.DUMMYFUNCTION("IMPORTRANGE(""https://docs.google.com/spreadsheets/d/1SX6NBoVAgQJ6U1MVXOaj8PK2l7WJ3RER9xtqwdhxkhw/edit?usp=sharing"",""นครนายก!J211"")"),0.0)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IFERROR(__xludf.DUMMYFUNCTION("IMPORTRANGE(""https://docs.google.com/spreadsheets/d/1SX6NBoVAgQJ6U1MVXOaj8PK2l7WJ3RER9xtqwdhxkhw/edit?usp=sharing"",""นครนายก!J212"")"),0.0)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IFERROR(__xludf.DUMMYFUNCTION("IMPORTRANGE(""https://docs.google.com/spreadsheets/d/1SX6NBoVAgQJ6U1MVXOaj8PK2l7WJ3RER9xtqwdhxkhw/edit?usp=sharing"",""นครนายก!J213"")"),0.0)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IFERROR(__xludf.DUMMYFUNCTION("IMPORTRANGE(""https://docs.google.com/spreadsheets/d/1SX6NBoVAgQJ6U1MVXOaj8PK2l7WJ3RER9xtqwdhxkhw/edit?usp=sharing"",""นครนายก!I214"")"),0.0)</f>
        <v>0</v>
      </c>
      <c r="J309" s="366">
        <f>IFERROR(__xludf.DUMMYFUNCTION("IMPORTRANGE(""https://docs.google.com/spreadsheets/d/1SX6NBoVAgQJ6U1MVXOaj8PK2l7WJ3RER9xtqwdhxkhw/edit?usp=sharing"",""นครนายก!J214"")"),0.0)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IFERROR(__xludf.DUMMYFUNCTION("IMPORTRANGE(""https://docs.google.com/spreadsheets/d/1Yj_ptqi66GCucihVvJfMjLAmec39IyEx_6qawtMGysU/edit?usp=sharing"",""สบก!DC65"")"),0.0)</f>
        <v>0</v>
      </c>
      <c r="N314" s="203">
        <f>IFERROR(__xludf.DUMMYFUNCTION("IMPORTRANGE(""https://docs.google.com/spreadsheets/d/1Yj_ptqi66GCucihVvJfMjLAmec39IyEx_6qawtMGysU/edit?usp=sharing"",""สบก!DD65"")"),0.0)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IFERROR(__xludf.DUMMYFUNCTION("IMPORTRANGE(""https://docs.google.com/spreadsheets/d/1Yj_ptqi66GCucihVvJfMjLAmec39IyEx_6qawtMGysU/edit?usp=sharing"",""สบก!CY65"")"),0.0)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IFERROR(__xludf.DUMMYFUNCTION("IMPORTRANGE(""https://docs.google.com/spreadsheets/d/1Yj_ptqi66GCucihVvJfMjLAmec39IyEx_6qawtMGysU/edit?usp=sharing"",""สบก!CZ65"")"),0.0)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IFERROR(__xludf.DUMMYFUNCTION("IMPORTRANGE(""https://docs.google.com/spreadsheets/d/1Yj_ptqi66GCucihVvJfMjLAmec39IyEx_6qawtMGysU/edit?usp=sharing"",""สบก!DA65"")"),0.0)</f>
        <v>0</v>
      </c>
      <c r="M318" s="70"/>
      <c r="N318" s="70">
        <f>IFERROR(__xludf.DUMMYFUNCTION("IMPORTRANGE(""https://docs.google.com/spreadsheets/d/1Yj_ptqi66GCucihVvJfMjLAmec39IyEx_6qawtMGysU/edit?usp=sharing"",""สบก!DE65"")"),0.0)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IFERROR(__xludf.DUMMYFUNCTION("IMPORTRANGE(""https://docs.google.com/spreadsheets/d/1SX6NBoVAgQJ6U1MVXOaj8PK2l7WJ3RER9xtqwdhxkhw/edit?usp=sharing"",""นครนายก!J220"")"),0.0)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IFERROR(__xludf.DUMMYFUNCTION("IMPORTRANGE(""https://docs.google.com/spreadsheets/d/1SX6NBoVAgQJ6U1MVXOaj8PK2l7WJ3RER9xtqwdhxkhw/edit?usp=sharing"",""นครนายก!J221"")"),0.0)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IFERROR(__xludf.DUMMYFUNCTION("IMPORTRANGE(""https://docs.google.com/spreadsheets/d/1SX6NBoVAgQJ6U1MVXOaj8PK2l7WJ3RER9xtqwdhxkhw/edit?usp=sharing"",""นครนายก!J222"")"),0.0)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IFERROR(__xludf.DUMMYFUNCTION("IMPORTRANGE(""https://docs.google.com/spreadsheets/d/1SX6NBoVAgQJ6U1MVXOaj8PK2l7WJ3RER9xtqwdhxkhw/edit?usp=sharing"",""นครนายก!J223"")"),0.0)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IFERROR(__xludf.DUMMYFUNCTION("IMPORTRANGE(""https://docs.google.com/spreadsheets/d/1SX6NBoVAgQJ6U1MVXOaj8PK2l7WJ3RER9xtqwdhxkhw/edit?usp=sharing"",""นครนายก!I224"")"),0.0)</f>
        <v>0</v>
      </c>
      <c r="J324" s="238">
        <f>IFERROR(__xludf.DUMMYFUNCTION("IMPORTRANGE(""https://docs.google.com/spreadsheets/d/1SX6NBoVAgQJ6U1MVXOaj8PK2l7WJ3RER9xtqwdhxkhw/edit?usp=sharing"",""นครนายก!J224"")"),0.0)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IFERROR(__xludf.DUMMYFUNCTION("IMPORTRANGE(""https://docs.google.com/spreadsheets/d/1SX6NBoVAgQJ6U1MVXOaj8PK2l7WJ3RER9xtqwdhxkhw/edit?usp=sharing"",""นครนายก!J225"")"),0.0)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IFERROR(__xludf.DUMMYFUNCTION("IMPORTRANGE(""https://docs.google.com/spreadsheets/d/1SX6NBoVAgQJ6U1MVXOaj8PK2l7WJ3RER9xtqwdhxkhw/edit?usp=sharing"",""นครนายก!J226"")"),0.0)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IFERROR(__xludf.DUMMYFUNCTION("IMPORTRANGE(""https://docs.google.com/spreadsheets/d/1SX6NBoVAgQJ6U1MVXOaj8PK2l7WJ3RER9xtqwdhxkhw/edit?usp=sharing"",""นครนายก!I228"")"),0.0)</f>
        <v>0</v>
      </c>
      <c r="J328" s="372">
        <f>IFERROR(__xludf.DUMMYFUNCTION("IMPORTRANGE(""https://docs.google.com/spreadsheets/d/1SX6NBoVAgQJ6U1MVXOaj8PK2l7WJ3RER9xtqwdhxkhw/edit?usp=sharing"",""นครนายก!J228"")"),0.0)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749180</v>
      </c>
      <c r="M329" s="183">
        <f t="shared" si="99"/>
        <v>355690</v>
      </c>
      <c r="N329" s="183">
        <f t="shared" si="99"/>
        <v>188088</v>
      </c>
      <c r="O329" s="182">
        <f t="shared" ref="O329:O331" si="101">IF(L329&gt;0,N329*100/L329,0)</f>
        <v>25.10584906</v>
      </c>
      <c r="P329" s="182">
        <f t="shared" ref="P329:P331" si="102">IF(M329&gt;0,N329*100/M329,0)</f>
        <v>52.87975484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749180</v>
      </c>
      <c r="M331" s="188">
        <f t="shared" si="103"/>
        <v>355690</v>
      </c>
      <c r="N331" s="188">
        <f t="shared" si="103"/>
        <v>188088</v>
      </c>
      <c r="O331" s="187">
        <f t="shared" si="101"/>
        <v>25.10584906</v>
      </c>
      <c r="P331" s="187">
        <f t="shared" si="102"/>
        <v>52.87975484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711380</v>
      </c>
      <c r="M333" s="200">
        <f>IFERROR(__xludf.DUMMYFUNCTION("IMPORTRANGE(""https://docs.google.com/spreadsheets/d/1Yj_ptqi66GCucihVvJfMjLAmec39IyEx_6qawtMGysU/edit?usp=sharing"",""สบก!DL65"")"),355690.0)</f>
        <v>355690</v>
      </c>
      <c r="N333" s="203">
        <f>IFERROR(__xludf.DUMMYFUNCTION("IMPORTRANGE(""https://docs.google.com/spreadsheets/d/1Yj_ptqi66GCucihVvJfMjLAmec39IyEx_6qawtMGysU/edit?usp=sharing"",""สบก!DM65"")"),150288.0)</f>
        <v>150288</v>
      </c>
      <c r="O333" s="203">
        <f>IF(L333&gt;0,N333*100/L333,0)</f>
        <v>21.12626163</v>
      </c>
      <c r="P333" s="203">
        <f>IF(M333&gt;0,N333*100/M333,0)</f>
        <v>42.25252326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IFERROR(__xludf.DUMMYFUNCTION("IMPORTRANGE(""https://docs.google.com/spreadsheets/d/1Yj_ptqi66GCucihVvJfMjLAmec39IyEx_6qawtMGysU/edit?usp=sharing"",""สบก!DH65"")"),529200.0)</f>
        <v>529200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IFERROR(__xludf.DUMMYFUNCTION("IMPORTRANGE(""https://docs.google.com/spreadsheets/d/1Yj_ptqi66GCucihVvJfMjLAmec39IyEx_6qawtMGysU/edit?usp=sharing"",""สบก!DI65"")"),182180.0)</f>
        <v>182180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IFERROR(__xludf.DUMMYFUNCTION("IMPORTRANGE(""https://docs.google.com/spreadsheets/d/1Yj_ptqi66GCucihVvJfMjLAmec39IyEx_6qawtMGysU/edit?usp=sharing"",""สบก!DJ65"")"),37800.0)</f>
        <v>37800</v>
      </c>
      <c r="M337" s="70"/>
      <c r="N337" s="70">
        <f>IFERROR(__xludf.DUMMYFUNCTION("IMPORTRANGE(""https://docs.google.com/spreadsheets/d/1Yj_ptqi66GCucihVvJfMjLAmec39IyEx_6qawtMGysU/edit?usp=sharing"",""สบก!DN65"")"),37800.0)</f>
        <v>37800</v>
      </c>
      <c r="O337" s="70">
        <f>IF(L337&gt;0,N337*100/L337,0)</f>
        <v>100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IFERROR(__xludf.DUMMYFUNCTION("IMPORTRANGE(""https://docs.google.com/spreadsheets/d/1SX6NBoVAgQJ6U1MVXOaj8PK2l7WJ3RER9xtqwdhxkhw/edit?usp=sharing"",""นครนายก!I234"")"),0.0)</f>
        <v>0</v>
      </c>
      <c r="J339" s="222">
        <f>IFERROR(__xludf.DUMMYFUNCTION("IMPORTRANGE(""https://docs.google.com/spreadsheets/d/1SX6NBoVAgQJ6U1MVXOaj8PK2l7WJ3RER9xtqwdhxkhw/edit?usp=sharing"",""นครนายก!J234"")"),0.0)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IFERROR(__xludf.DUMMYFUNCTION("IMPORTRANGE(""https://docs.google.com/spreadsheets/d/1SX6NBoVAgQJ6U1MVXOaj8PK2l7WJ3RER9xtqwdhxkhw/edit?usp=sharing"",""นครนายก!I235"")"),0.0)</f>
        <v>0</v>
      </c>
      <c r="J340" s="222">
        <f>IFERROR(__xludf.DUMMYFUNCTION("IMPORTRANGE(""https://docs.google.com/spreadsheets/d/1SX6NBoVAgQJ6U1MVXOaj8PK2l7WJ3RER9xtqwdhxkhw/edit?usp=sharing"",""นครนายก!J235"")"),0.0)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IFERROR(__xludf.DUMMYFUNCTION("IMPORTRANGE(""https://docs.google.com/spreadsheets/d/1SX6NBoVAgQJ6U1MVXOaj8PK2l7WJ3RER9xtqwdhxkhw/edit?usp=sharing"",""นครนายก!I236"")"),0.0)</f>
        <v>0</v>
      </c>
      <c r="J341" s="222">
        <f>IFERROR(__xludf.DUMMYFUNCTION("IMPORTRANGE(""https://docs.google.com/spreadsheets/d/1SX6NBoVAgQJ6U1MVXOaj8PK2l7WJ3RER9xtqwdhxkhw/edit?usp=sharing"",""นครนายก!J236"")"),0.0)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IFERROR(__xludf.DUMMYFUNCTION("IMPORTRANGE(""https://docs.google.com/spreadsheets/d/1SX6NBoVAgQJ6U1MVXOaj8PK2l7WJ3RER9xtqwdhxkhw/edit?usp=sharing"",""นครนายก!I237"")"),0.0)</f>
        <v>0</v>
      </c>
      <c r="J342" s="222">
        <f>IFERROR(__xludf.DUMMYFUNCTION("IMPORTRANGE(""https://docs.google.com/spreadsheets/d/1SX6NBoVAgQJ6U1MVXOaj8PK2l7WJ3RER9xtqwdhxkhw/edit?usp=sharing"",""นครนายก!J237"")"),0.0)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IFERROR(__xludf.DUMMYFUNCTION("IMPORTRANGE(""https://docs.google.com/spreadsheets/d/1SX6NBoVAgQJ6U1MVXOaj8PK2l7WJ3RER9xtqwdhxkhw/edit?usp=sharing"",""นครนายก!I238"")"),0.0)</f>
        <v>0</v>
      </c>
      <c r="J343" s="222">
        <f>IFERROR(__xludf.DUMMYFUNCTION("IMPORTRANGE(""https://docs.google.com/spreadsheets/d/1SX6NBoVAgQJ6U1MVXOaj8PK2l7WJ3RER9xtqwdhxkhw/edit?usp=sharing"",""นครนายก!J238"")"),0.0)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IFERROR(__xludf.DUMMYFUNCTION("IMPORTRANGE(""https://docs.google.com/spreadsheets/d/1SX6NBoVAgQJ6U1MVXOaj8PK2l7WJ3RER9xtqwdhxkhw/edit?usp=sharing"",""นครนายก!I239"")"),0.0)</f>
        <v>0</v>
      </c>
      <c r="J344" s="222">
        <f>IFERROR(__xludf.DUMMYFUNCTION("IMPORTRANGE(""https://docs.google.com/spreadsheets/d/1SX6NBoVAgQJ6U1MVXOaj8PK2l7WJ3RER9xtqwdhxkhw/edit?usp=sharing"",""นครนายก!J239"")"),0.0)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IFERROR(__xludf.DUMMYFUNCTION("IMPORTRANGE(""https://docs.google.com/spreadsheets/d/1SX6NBoVAgQJ6U1MVXOaj8PK2l7WJ3RER9xtqwdhxkhw/edit?usp=sharing"",""นครนายก!I240"")"),0.0)</f>
        <v>0</v>
      </c>
      <c r="J345" s="222">
        <f>IFERROR(__xludf.DUMMYFUNCTION("IMPORTRANGE(""https://docs.google.com/spreadsheets/d/1SX6NBoVAgQJ6U1MVXOaj8PK2l7WJ3RER9xtqwdhxkhw/edit?usp=sharing"",""นครนายก!J240"")"),0.0)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IFERROR(__xludf.DUMMYFUNCTION("IMPORTRANGE(""https://docs.google.com/spreadsheets/d/1SX6NBoVAgQJ6U1MVXOaj8PK2l7WJ3RER9xtqwdhxkhw/edit?usp=sharing"",""นครนายก!I241"")"),0.0)</f>
        <v>0</v>
      </c>
      <c r="J346" s="222">
        <f>IFERROR(__xludf.DUMMYFUNCTION("IMPORTRANGE(""https://docs.google.com/spreadsheets/d/1SX6NBoVAgQJ6U1MVXOaj8PK2l7WJ3RER9xtqwdhxkhw/edit?usp=sharing"",""นครนายก!J241"")"),0.0)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IFERROR(__xludf.DUMMYFUNCTION("IMPORTRANGE(""https://docs.google.com/spreadsheets/d/1SX6NBoVAgQJ6U1MVXOaj8PK2l7WJ3RER9xtqwdhxkhw/edit?usp=sharing"",""นครนายก!L242"")"),781810.0)</f>
        <v>781810</v>
      </c>
      <c r="M347" s="391"/>
      <c r="N347" s="391">
        <f>IFERROR(__xludf.DUMMYFUNCTION("IMPORTRANGE(""https://docs.google.com/spreadsheets/d/1SX6NBoVAgQJ6U1MVXOaj8PK2l7WJ3RER9xtqwdhxkhw/edit?usp=sharing"",""นครนายก!M242"")"),89210.0)</f>
        <v>89210</v>
      </c>
      <c r="O347" s="391">
        <f>+IF(L347&gt;0,N347*100/L347,0)</f>
        <v>11.41070081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IFERROR(__xludf.DUMMYFUNCTION("IMPORTRANGE(""https://docs.google.com/spreadsheets/d/1SX6NBoVAgQJ6U1MVXOaj8PK2l7WJ3RER9xtqwdhxkhw/edit?usp=sharing"",""นครนายก!I244"")"),25.0)</f>
        <v>25</v>
      </c>
      <c r="J349" s="404">
        <f>IFERROR(__xludf.DUMMYFUNCTION("IMPORTRANGE(""https://docs.google.com/spreadsheets/d/1SX6NBoVAgQJ6U1MVXOaj8PK2l7WJ3RER9xtqwdhxkhw/edit?usp=sharing"",""นครนายก!J244"")"),0.0)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IFERROR(__xludf.DUMMYFUNCTION("IMPORTRANGE(""https://docs.google.com/spreadsheets/d/1SX6NBoVAgQJ6U1MVXOaj8PK2l7WJ3RER9xtqwdhxkhw/edit?usp=sharing"",""นครนายก!L244"")"),78920.0)</f>
        <v>78920</v>
      </c>
      <c r="M349" s="406"/>
      <c r="N349" s="406">
        <f>IFERROR(__xludf.DUMMYFUNCTION("IMPORTRANGE(""https://docs.google.com/spreadsheets/d/1SX6NBoVAgQJ6U1MVXOaj8PK2l7WJ3RER9xtqwdhxkhw/edit?usp=sharing"",""นครนายก!M244"")"),0.0)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IFERROR(__xludf.DUMMYFUNCTION("IMPORTRANGE(""https://docs.google.com/spreadsheets/d/1SX6NBoVAgQJ6U1MVXOaj8PK2l7WJ3RER9xtqwdhxkhw/edit?usp=sharing"",""นครนายก!I245"")"),15.0)</f>
        <v>15</v>
      </c>
      <c r="J350" s="404">
        <f>IFERROR(__xludf.DUMMYFUNCTION("IMPORTRANGE(""https://docs.google.com/spreadsheets/d/1SX6NBoVAgQJ6U1MVXOaj8PK2l7WJ3RER9xtqwdhxkhw/edit?usp=sharing"",""นครนายก!J245"")"),0.0)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IFERROR(__xludf.DUMMYFUNCTION("IMPORTRANGE(""https://docs.google.com/spreadsheets/d/1SX6NBoVAgQJ6U1MVXOaj8PK2l7WJ3RER9xtqwdhxkhw/edit?usp=sharing"",""นครนายก!L246"")"),0.0)</f>
        <v>0</v>
      </c>
      <c r="M351" s="197"/>
      <c r="N351" s="197">
        <f>IFERROR(__xludf.DUMMYFUNCTION("IMPORTRANGE(""https://docs.google.com/spreadsheets/d/1SX6NBoVAgQJ6U1MVXOaj8PK2l7WJ3RER9xtqwdhxkhw/edit?usp=sharing"",""นครนายก!M246"")"),0.0)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IFERROR(__xludf.DUMMYFUNCTION("IMPORTRANGE(""https://docs.google.com/spreadsheets/d/1SX6NBoVAgQJ6U1MVXOaj8PK2l7WJ3RER9xtqwdhxkhw/edit?usp=sharing"",""นครนายก!L247"")"),78920.0)</f>
        <v>78920</v>
      </c>
      <c r="M352" s="198"/>
      <c r="N352" s="197">
        <f>IFERROR(__xludf.DUMMYFUNCTION("IMPORTRANGE(""https://docs.google.com/spreadsheets/d/1SX6NBoVAgQJ6U1MVXOaj8PK2l7WJ3RER9xtqwdhxkhw/edit?usp=sharing"",""นครนายก!M247"")"),0.0)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IFERROR(__xludf.DUMMYFUNCTION("IMPORTRANGE(""https://docs.google.com/spreadsheets/d/1SX6NBoVAgQJ6U1MVXOaj8PK2l7WJ3RER9xtqwdhxkhw/edit?usp=sharing"",""นครนายก!L248"")"),0.0)</f>
        <v>0</v>
      </c>
      <c r="M353" s="203"/>
      <c r="N353" s="203">
        <f>IFERROR(__xludf.DUMMYFUNCTION("IMPORTRANGE(""https://docs.google.com/spreadsheets/d/1SX6NBoVAgQJ6U1MVXOaj8PK2l7WJ3RER9xtqwdhxkhw/edit?usp=sharing"",""นครนายก!M248"")"),0.0)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IFERROR(__xludf.DUMMYFUNCTION("IMPORTRANGE(""https://docs.google.com/spreadsheets/d/1SX6NBoVAgQJ6U1MVXOaj8PK2l7WJ3RER9xtqwdhxkhw/edit?usp=sharing"",""นครนายก!L249"")"),78920.0)</f>
        <v>78920</v>
      </c>
      <c r="M354" s="203"/>
      <c r="N354" s="200">
        <f>IFERROR(__xludf.DUMMYFUNCTION("IMPORTRANGE(""https://docs.google.com/spreadsheets/d/1SX6NBoVAgQJ6U1MVXOaj8PK2l7WJ3RER9xtqwdhxkhw/edit?usp=sharing"",""นครนายก!M249"")"),0.0)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IFERROR(__xludf.DUMMYFUNCTION("IMPORTRANGE(""https://docs.google.com/spreadsheets/d/1SX6NBoVAgQJ6U1MVXOaj8PK2l7WJ3RER9xtqwdhxkhw/edit?usp=sharing"",""นครนายก!M250"")"),0.0)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IFERROR(__xludf.DUMMYFUNCTION("IMPORTRANGE(""https://docs.google.com/spreadsheets/d/1SX6NBoVAgQJ6U1MVXOaj8PK2l7WJ3RER9xtqwdhxkhw/edit?usp=sharing"",""นครนายก!M251"")"),0.0)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IFERROR(__xludf.DUMMYFUNCTION("IMPORTRANGE(""https://docs.google.com/spreadsheets/d/1SX6NBoVAgQJ6U1MVXOaj8PK2l7WJ3RER9xtqwdhxkhw/edit?usp=sharing"",""นครนายก!M252"")"),0.0)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IFERROR(__xludf.DUMMYFUNCTION("IMPORTRANGE(""https://docs.google.com/spreadsheets/d/1SX6NBoVAgQJ6U1MVXOaj8PK2l7WJ3RER9xtqwdhxkhw/edit?usp=sharing"",""นครนายก!M253"")"),0.0)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IFERROR(__xludf.DUMMYFUNCTION("IMPORTRANGE(""https://docs.google.com/spreadsheets/d/1SX6NBoVAgQJ6U1MVXOaj8PK2l7WJ3RER9xtqwdhxkhw/edit?usp=sharing"",""นครนายก!J255"")"),0.0)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IFERROR(__xludf.DUMMYFUNCTION("IMPORTRANGE(""https://docs.google.com/spreadsheets/d/1SX6NBoVAgQJ6U1MVXOaj8PK2l7WJ3RER9xtqwdhxkhw/edit?usp=sharing"",""นครนายก!J256"")"),1.0)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IFERROR(__xludf.DUMMYFUNCTION("IMPORTRANGE(""https://docs.google.com/spreadsheets/d/1SX6NBoVAgQJ6U1MVXOaj8PK2l7WJ3RER9xtqwdhxkhw/edit?usp=sharing"",""นครนายก!J257"")"),0.0)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IFERROR(__xludf.DUMMYFUNCTION("IMPORTRANGE(""https://docs.google.com/spreadsheets/d/1SX6NBoVAgQJ6U1MVXOaj8PK2l7WJ3RER9xtqwdhxkhw/edit?usp=sharing"",""นครนายก!J258"")"),0.0)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IFERROR(__xludf.DUMMYFUNCTION("IMPORTRANGE(""https://docs.google.com/spreadsheets/d/1SX6NBoVAgQJ6U1MVXOaj8PK2l7WJ3RER9xtqwdhxkhw/edit?usp=sharing"",""นครนายก!J166"")"),0.0)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IFERROR(__xludf.DUMMYFUNCTION("IMPORTRANGE(""https://docs.google.com/spreadsheets/d/1SX6NBoVAgQJ6U1MVXOaj8PK2l7WJ3RER9xtqwdhxkhw/edit?usp=sharing"",""นครนายก!J166"")"),0.0)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IFERROR(__xludf.DUMMYFUNCTION("IMPORTRANGE(""https://docs.google.com/spreadsheets/d/1SX6NBoVAgQJ6U1MVXOaj8PK2l7WJ3RER9xtqwdhxkhw/edit?usp=sharing"",""นครนายก!J166"")"),0.0)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IFERROR(__xludf.DUMMYFUNCTION("IMPORTRANGE(""https://docs.google.com/spreadsheets/d/1SX6NBoVAgQJ6U1MVXOaj8PK2l7WJ3RER9xtqwdhxkhw/edit?usp=sharing"",""นครนายก!J166"")"),0.0)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IFERROR(__xludf.DUMMYFUNCTION("IMPORTRANGE(""https://docs.google.com/spreadsheets/d/1SX6NBoVAgQJ6U1MVXOaj8PK2l7WJ3RER9xtqwdhxkhw/edit?usp=sharing"",""นครนายก!I263"")"),15.0)</f>
        <v>15</v>
      </c>
      <c r="J368" s="222">
        <f>IFERROR(__xludf.DUMMYFUNCTION("IMPORTRANGE(""https://docs.google.com/spreadsheets/d/1SX6NBoVAgQJ6U1MVXOaj8PK2l7WJ3RER9xtqwdhxkhw/edit?usp=sharing"",""นครนายก!J263"")"),0.0)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IFERROR(__xludf.DUMMYFUNCTION("IMPORTRANGE(""https://docs.google.com/spreadsheets/d/1SX6NBoVAgQJ6U1MVXOaj8PK2l7WJ3RER9xtqwdhxkhw/edit?usp=sharing"",""นครนายก!I164"")"),0.0)</f>
        <v>0</v>
      </c>
      <c r="J369" s="238">
        <f>IFERROR(__xludf.DUMMYFUNCTION("IMPORTRANGE(""https://docs.google.com/spreadsheets/d/1SX6NBoVAgQJ6U1MVXOaj8PK2l7WJ3RER9xtqwdhxkhw/edit?usp=sharing"",""นครนายก!J164"")"),0.0)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IFERROR(__xludf.DUMMYFUNCTION("IMPORTRANGE(""https://docs.google.com/spreadsheets/d/1SX6NBoVAgQJ6U1MVXOaj8PK2l7WJ3RER9xtqwdhxkhw/edit?usp=sharing"",""นครนายก!I265"")"),15.0)</f>
        <v>15</v>
      </c>
      <c r="J370" s="238">
        <f>IFERROR(__xludf.DUMMYFUNCTION("IMPORTRANGE(""https://docs.google.com/spreadsheets/d/1SX6NBoVAgQJ6U1MVXOaj8PK2l7WJ3RER9xtqwdhxkhw/edit?usp=sharing"",""นครนายก!J265"")"),0.0)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IFERROR(__xludf.DUMMYFUNCTION("IMPORTRANGE(""https://docs.google.com/spreadsheets/d/1SX6NBoVAgQJ6U1MVXOaj8PK2l7WJ3RER9xtqwdhxkhw/edit?usp=sharing"",""นครนายก!I164"")"),0.0)</f>
        <v>0</v>
      </c>
      <c r="J371" s="223">
        <f>IFERROR(__xludf.DUMMYFUNCTION("IMPORTRANGE(""https://docs.google.com/spreadsheets/d/1SX6NBoVAgQJ6U1MVXOaj8PK2l7WJ3RER9xtqwdhxkhw/edit?usp=sharing"",""นครนายก!J164"")"),0.0)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IFERROR(__xludf.DUMMYFUNCTION("IMPORTRANGE(""https://docs.google.com/spreadsheets/d/1SX6NBoVAgQJ6U1MVXOaj8PK2l7WJ3RER9xtqwdhxkhw/edit?usp=sharing"",""นครนายก!I267"")"),15.0)</f>
        <v>15</v>
      </c>
      <c r="J372" s="223">
        <f>IFERROR(__xludf.DUMMYFUNCTION("IMPORTRANGE(""https://docs.google.com/spreadsheets/d/1SX6NBoVAgQJ6U1MVXOaj8PK2l7WJ3RER9xtqwdhxkhw/edit?usp=sharing"",""นครนายก!J267"")"),0.0)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IFERROR(__xludf.DUMMYFUNCTION("IMPORTRANGE(""https://docs.google.com/spreadsheets/d/1SX6NBoVAgQJ6U1MVXOaj8PK2l7WJ3RER9xtqwdhxkhw/edit?usp=sharing"",""นครนายก!I164"")"),0.0)</f>
        <v>0</v>
      </c>
      <c r="J373" s="238">
        <f>IFERROR(__xludf.DUMMYFUNCTION("IMPORTRANGE(""https://docs.google.com/spreadsheets/d/1SX6NBoVAgQJ6U1MVXOaj8PK2l7WJ3RER9xtqwdhxkhw/edit?usp=sharing"",""นครนายก!J164"")"),0.0)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IFERROR(__xludf.DUMMYFUNCTION("IMPORTRANGE(""https://docs.google.com/spreadsheets/d/1SX6NBoVAgQJ6U1MVXOaj8PK2l7WJ3RER9xtqwdhxkhw/edit?usp=sharing"",""นครนายก!I164"")"),0.0)</f>
        <v>0</v>
      </c>
      <c r="J374" s="222">
        <f>IFERROR(__xludf.DUMMYFUNCTION("IMPORTRANGE(""https://docs.google.com/spreadsheets/d/1SX6NBoVAgQJ6U1MVXOaj8PK2l7WJ3RER9xtqwdhxkhw/edit?usp=sharing"",""นครนายก!J164"")"),0.0)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IFERROR(__xludf.DUMMYFUNCTION("IMPORTRANGE(""https://docs.google.com/spreadsheets/d/1SX6NBoVAgQJ6U1MVXOaj8PK2l7WJ3RER9xtqwdhxkhw/edit?usp=sharing"",""นครนายก!I270"")"),25.0)</f>
        <v>25</v>
      </c>
      <c r="J375" s="222">
        <f>IFERROR(__xludf.DUMMYFUNCTION("IMPORTRANGE(""https://docs.google.com/spreadsheets/d/1SX6NBoVAgQJ6U1MVXOaj8PK2l7WJ3RER9xtqwdhxkhw/edit?usp=sharing"",""นครนายก!J270"")"),0.0)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IFERROR(__xludf.DUMMYFUNCTION("IMPORTRANGE(""https://docs.google.com/spreadsheets/d/1SX6NBoVAgQJ6U1MVXOaj8PK2l7WJ3RER9xtqwdhxkhw/edit?usp=sharing"",""นครนายก!I271"")"),20.0)</f>
        <v>20</v>
      </c>
      <c r="J376" s="223">
        <f>IFERROR(__xludf.DUMMYFUNCTION("IMPORTRANGE(""https://docs.google.com/spreadsheets/d/1SX6NBoVAgQJ6U1MVXOaj8PK2l7WJ3RER9xtqwdhxkhw/edit?usp=sharing"",""นครนายก!J271"")"),0.0)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IFERROR(__xludf.DUMMYFUNCTION("IMPORTRANGE(""https://docs.google.com/spreadsheets/d/1SX6NBoVAgQJ6U1MVXOaj8PK2l7WJ3RER9xtqwdhxkhw/edit?usp=sharing"",""นครนายก!I272"")"),5.0)</f>
        <v>5</v>
      </c>
      <c r="J377" s="238">
        <f>IFERROR(__xludf.DUMMYFUNCTION("IMPORTRANGE(""https://docs.google.com/spreadsheets/d/1SX6NBoVAgQJ6U1MVXOaj8PK2l7WJ3RER9xtqwdhxkhw/edit?usp=sharing"",""นครนายก!J272"")"),0.0)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IFERROR(__xludf.DUMMYFUNCTION("IMPORTRANGE(""https://docs.google.com/spreadsheets/d/1SX6NBoVAgQJ6U1MVXOaj8PK2l7WJ3RER9xtqwdhxkhw/edit?usp=sharing"",""นครนายก!J273"")"),0.0)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IFERROR(__xludf.DUMMYFUNCTION("IMPORTRANGE(""https://docs.google.com/spreadsheets/d/1SX6NBoVAgQJ6U1MVXOaj8PK2l7WJ3RER9xtqwdhxkhw/edit?usp=sharing"",""นครนายก!J274"")"),0.0)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IFERROR(__xludf.DUMMYFUNCTION("IMPORTRANGE(""https://docs.google.com/spreadsheets/d/1SX6NBoVAgQJ6U1MVXOaj8PK2l7WJ3RER9xtqwdhxkhw/edit?usp=sharing"",""นครนายก!I275"")"),50.0)</f>
        <v>50</v>
      </c>
      <c r="J380" s="404">
        <f>IFERROR(__xludf.DUMMYFUNCTION("IMPORTRANGE(""https://docs.google.com/spreadsheets/d/1SX6NBoVAgQJ6U1MVXOaj8PK2l7WJ3RER9xtqwdhxkhw/edit?usp=sharing"",""นครนายก!J275"")"),0.0)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IFERROR(__xludf.DUMMYFUNCTION("IMPORTRANGE(""https://docs.google.com/spreadsheets/d/1SX6NBoVAgQJ6U1MVXOaj8PK2l7WJ3RER9xtqwdhxkhw/edit?usp=sharing"",""นครนายก!L275"")"),87710.0)</f>
        <v>87710</v>
      </c>
      <c r="M380" s="406"/>
      <c r="N380" s="406">
        <f>IFERROR(__xludf.DUMMYFUNCTION("IMPORTRANGE(""https://docs.google.com/spreadsheets/d/1SX6NBoVAgQJ6U1MVXOaj8PK2l7WJ3RER9xtqwdhxkhw/edit?usp=sharing"",""นครนายก!M275"")"),0.0)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IFERROR(__xludf.DUMMYFUNCTION("IMPORTRANGE(""https://docs.google.com/spreadsheets/d/1SX6NBoVAgQJ6U1MVXOaj8PK2l7WJ3RER9xtqwdhxkhw/edit?usp=sharing"",""นครนายก!I276"")"),5.0)</f>
        <v>5</v>
      </c>
      <c r="J381" s="404">
        <f>IFERROR(__xludf.DUMMYFUNCTION("IMPORTRANGE(""https://docs.google.com/spreadsheets/d/1SX6NBoVAgQJ6U1MVXOaj8PK2l7WJ3RER9xtqwdhxkhw/edit?usp=sharing"",""นครนายก!J276"")"),0.0)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IFERROR(__xludf.DUMMYFUNCTION("IMPORTRANGE(""https://docs.google.com/spreadsheets/d/1SX6NBoVAgQJ6U1MVXOaj8PK2l7WJ3RER9xtqwdhxkhw/edit?usp=sharing"",""นครนายก!L277"")"),0.0)</f>
        <v>0</v>
      </c>
      <c r="M382" s="197"/>
      <c r="N382" s="197">
        <f>IFERROR(__xludf.DUMMYFUNCTION("IMPORTRANGE(""https://docs.google.com/spreadsheets/d/1SX6NBoVAgQJ6U1MVXOaj8PK2l7WJ3RER9xtqwdhxkhw/edit?usp=sharing"",""นครนายก!M277"")"),0.0)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IFERROR(__xludf.DUMMYFUNCTION("IMPORTRANGE(""https://docs.google.com/spreadsheets/d/1SX6NBoVAgQJ6U1MVXOaj8PK2l7WJ3RER9xtqwdhxkhw/edit?usp=sharing"",""นครนายก!L278"")"),87710.0)</f>
        <v>87710</v>
      </c>
      <c r="M383" s="198"/>
      <c r="N383" s="198">
        <f>IFERROR(__xludf.DUMMYFUNCTION("IMPORTRANGE(""https://docs.google.com/spreadsheets/d/1SX6NBoVAgQJ6U1MVXOaj8PK2l7WJ3RER9xtqwdhxkhw/edit?usp=sharing"",""นครนายก!M278"")"),0.0)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IFERROR(__xludf.DUMMYFUNCTION("IMPORTRANGE(""https://docs.google.com/spreadsheets/d/1SX6NBoVAgQJ6U1MVXOaj8PK2l7WJ3RER9xtqwdhxkhw/edit?usp=sharing"",""นครนายก!L279"")"),0.0)</f>
        <v>0</v>
      </c>
      <c r="M384" s="203"/>
      <c r="N384" s="203">
        <f>IFERROR(__xludf.DUMMYFUNCTION("IMPORTRANGE(""https://docs.google.com/spreadsheets/d/1SX6NBoVAgQJ6U1MVXOaj8PK2l7WJ3RER9xtqwdhxkhw/edit?usp=sharing"",""นครนายก!M279"")"),0.0)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IFERROR(__xludf.DUMMYFUNCTION("IMPORTRANGE(""https://docs.google.com/spreadsheets/d/1SX6NBoVAgQJ6U1MVXOaj8PK2l7WJ3RER9xtqwdhxkhw/edit?usp=sharing"",""นครนายก!L280"")"),87710.0)</f>
        <v>87710</v>
      </c>
      <c r="M385" s="203"/>
      <c r="N385" s="200">
        <f>IFERROR(__xludf.DUMMYFUNCTION("IMPORTRANGE(""https://docs.google.com/spreadsheets/d/1SX6NBoVAgQJ6U1MVXOaj8PK2l7WJ3RER9xtqwdhxkhw/edit?usp=sharing"",""นครนายก!M280"")"),0.0)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IFERROR(__xludf.DUMMYFUNCTION("IMPORTRANGE(""https://docs.google.com/spreadsheets/d/1SX6NBoVAgQJ6U1MVXOaj8PK2l7WJ3RER9xtqwdhxkhw/edit?usp=sharing"",""นครนายก!M281"")"),0.0)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IFERROR(__xludf.DUMMYFUNCTION("IMPORTRANGE(""https://docs.google.com/spreadsheets/d/1SX6NBoVAgQJ6U1MVXOaj8PK2l7WJ3RER9xtqwdhxkhw/edit?usp=sharing"",""นครนายก!M282"")"),0.0)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IFERROR(__xludf.DUMMYFUNCTION("IMPORTRANGE(""https://docs.google.com/spreadsheets/d/1SX6NBoVAgQJ6U1MVXOaj8PK2l7WJ3RER9xtqwdhxkhw/edit?usp=sharing"",""นครนายก!M283"")"),0.0)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IFERROR(__xludf.DUMMYFUNCTION("IMPORTRANGE(""https://docs.google.com/spreadsheets/d/1SX6NBoVAgQJ6U1MVXOaj8PK2l7WJ3RER9xtqwdhxkhw/edit?usp=sharing"",""นครนายก!M284"")"),0.0)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IFERROR(__xludf.DUMMYFUNCTION("IMPORTRANGE(""https://docs.google.com/spreadsheets/d/1SX6NBoVAgQJ6U1MVXOaj8PK2l7WJ3RER9xtqwdhxkhw/edit?usp=sharing"",""นครนายก!J286"")"),0.0)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IFERROR(__xludf.DUMMYFUNCTION("IMPORTRANGE(""https://docs.google.com/spreadsheets/d/1SX6NBoVAgQJ6U1MVXOaj8PK2l7WJ3RER9xtqwdhxkhw/edit?usp=sharing"",""นครนายก!J287"")"),1.0)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IFERROR(__xludf.DUMMYFUNCTION("IMPORTRANGE(""https://docs.google.com/spreadsheets/d/1SX6NBoVAgQJ6U1MVXOaj8PK2l7WJ3RER9xtqwdhxkhw/edit?usp=sharing"",""นครนายก!J288"")"),0.0)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IFERROR(__xludf.DUMMYFUNCTION("IMPORTRANGE(""https://docs.google.com/spreadsheets/d/1SX6NBoVAgQJ6U1MVXOaj8PK2l7WJ3RER9xtqwdhxkhw/edit?usp=sharing"",""นครนายก!J289"")"),0.0)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IFERROR(__xludf.DUMMYFUNCTION("IMPORTRANGE(""https://docs.google.com/spreadsheets/d/1SX6NBoVAgQJ6U1MVXOaj8PK2l7WJ3RER9xtqwdhxkhw/edit?usp=sharing"",""นครนายก!I291"")"),5.0)</f>
        <v>5</v>
      </c>
      <c r="J396" s="232">
        <f>IFERROR(__xludf.DUMMYFUNCTION("IMPORTRANGE(""https://docs.google.com/spreadsheets/d/1SX6NBoVAgQJ6U1MVXOaj8PK2l7WJ3RER9xtqwdhxkhw/edit?usp=sharing"",""นครนายก!J291"")"),0.0)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IFERROR(__xludf.DUMMYFUNCTION("IMPORTRANGE(""https://docs.google.com/spreadsheets/d/1SX6NBoVAgQJ6U1MVXOaj8PK2l7WJ3RER9xtqwdhxkhw/edit?usp=sharing"",""นครนายก!I292"")"),50.0)</f>
        <v>50</v>
      </c>
      <c r="J397" s="232">
        <f>IFERROR(__xludf.DUMMYFUNCTION("IMPORTRANGE(""https://docs.google.com/spreadsheets/d/1SX6NBoVAgQJ6U1MVXOaj8PK2l7WJ3RER9xtqwdhxkhw/edit?usp=sharing"",""นครนายก!J292"")"),0.0)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IFERROR(__xludf.DUMMYFUNCTION("IMPORTRANGE(""https://docs.google.com/spreadsheets/d/1SX6NBoVAgQJ6U1MVXOaj8PK2l7WJ3RER9xtqwdhxkhw/edit?usp=sharing"",""นครนายก!I293"")"),5.0)</f>
        <v>5</v>
      </c>
      <c r="J398" s="232">
        <f>IFERROR(__xludf.DUMMYFUNCTION("IMPORTRANGE(""https://docs.google.com/spreadsheets/d/1SX6NBoVAgQJ6U1MVXOaj8PK2l7WJ3RER9xtqwdhxkhw/edit?usp=sharing"",""นครนายก!J293"")"),0.0)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IFERROR(__xludf.DUMMYFUNCTION("IMPORTRANGE(""https://docs.google.com/spreadsheets/d/1SX6NBoVAgQJ6U1MVXOaj8PK2l7WJ3RER9xtqwdhxkhw/edit?usp=sharing"",""นครนายก!J294"")"),0.0)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IFERROR(__xludf.DUMMYFUNCTION("IMPORTRANGE(""https://docs.google.com/spreadsheets/d/1SX6NBoVAgQJ6U1MVXOaj8PK2l7WJ3RER9xtqwdhxkhw/edit?usp=sharing"",""นครนายก!J295"")"),0.0)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IFERROR(__xludf.DUMMYFUNCTION("IMPORTRANGE(""https://docs.google.com/spreadsheets/d/1SX6NBoVAgQJ6U1MVXOaj8PK2l7WJ3RER9xtqwdhxkhw/edit?usp=sharing"",""นครนายก!I296"")"),204.0)</f>
        <v>204</v>
      </c>
      <c r="J401" s="404">
        <f>IFERROR(__xludf.DUMMYFUNCTION("IMPORTRANGE(""https://docs.google.com/spreadsheets/d/1SX6NBoVAgQJ6U1MVXOaj8PK2l7WJ3RER9xtqwdhxkhw/edit?usp=sharing"",""นครนายก!J296"")"),0.0)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IFERROR(__xludf.DUMMYFUNCTION("IMPORTRANGE(""https://docs.google.com/spreadsheets/d/1SX6NBoVAgQJ6U1MVXOaj8PK2l7WJ3RER9xtqwdhxkhw/edit?usp=sharing"",""นครนายก!L296"")"),229370.0)</f>
        <v>229370</v>
      </c>
      <c r="M401" s="406"/>
      <c r="N401" s="406">
        <f>IFERROR(__xludf.DUMMYFUNCTION("IMPORTRANGE(""https://docs.google.com/spreadsheets/d/1SX6NBoVAgQJ6U1MVXOaj8PK2l7WJ3RER9xtqwdhxkhw/edit?usp=sharing"",""นครนายก!M296"")"),20350.0)</f>
        <v>20350</v>
      </c>
      <c r="O401" s="406">
        <f>+IF(L401&gt;0,N401*100/L401,0)</f>
        <v>8.872128003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IFERROR(__xludf.DUMMYFUNCTION("IMPORTRANGE(""https://docs.google.com/spreadsheets/d/1SX6NBoVAgQJ6U1MVXOaj8PK2l7WJ3RER9xtqwdhxkhw/edit?usp=sharing"",""นครนายก!I297"")"),68.0)</f>
        <v>68</v>
      </c>
      <c r="J402" s="404">
        <f>IFERROR(__xludf.DUMMYFUNCTION("IMPORTRANGE(""https://docs.google.com/spreadsheets/d/1SX6NBoVAgQJ6U1MVXOaj8PK2l7WJ3RER9xtqwdhxkhw/edit?usp=sharing"",""นครนายก!J297"")"),0.0)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IFERROR(__xludf.DUMMYFUNCTION("IMPORTRANGE(""https://docs.google.com/spreadsheets/d/1SX6NBoVAgQJ6U1MVXOaj8PK2l7WJ3RER9xtqwdhxkhw/edit?usp=sharing"",""นครนายก!L298"")"),0.0)</f>
        <v>0</v>
      </c>
      <c r="M403" s="197"/>
      <c r="N403" s="203">
        <f>IFERROR(__xludf.DUMMYFUNCTION("IMPORTRANGE(""https://docs.google.com/spreadsheets/d/1SX6NBoVAgQJ6U1MVXOaj8PK2l7WJ3RER9xtqwdhxkhw/edit?usp=sharing"",""นครนายก!M298"")"),0.0)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IFERROR(__xludf.DUMMYFUNCTION("IMPORTRANGE(""https://docs.google.com/spreadsheets/d/1SX6NBoVAgQJ6U1MVXOaj8PK2l7WJ3RER9xtqwdhxkhw/edit?usp=sharing"",""นครนายก!L299"")"),229370.0)</f>
        <v>229370</v>
      </c>
      <c r="M404" s="198"/>
      <c r="N404" s="203">
        <f>IFERROR(__xludf.DUMMYFUNCTION("IMPORTRANGE(""https://docs.google.com/spreadsheets/d/1SX6NBoVAgQJ6U1MVXOaj8PK2l7WJ3RER9xtqwdhxkhw/edit?usp=sharing"",""นครนายก!M299"")"),20350.0)</f>
        <v>20350</v>
      </c>
      <c r="O404" s="203">
        <f t="shared" si="113"/>
        <v>8.872128003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IFERROR(__xludf.DUMMYFUNCTION("IMPORTRANGE(""https://docs.google.com/spreadsheets/d/1SX6NBoVAgQJ6U1MVXOaj8PK2l7WJ3RER9xtqwdhxkhw/edit?usp=sharing"",""นครนายก!L300"")"),0.0)</f>
        <v>0</v>
      </c>
      <c r="M405" s="203"/>
      <c r="N405" s="203">
        <f>IFERROR(__xludf.DUMMYFUNCTION("IMPORTRANGE(""https://docs.google.com/spreadsheets/d/1SX6NBoVAgQJ6U1MVXOaj8PK2l7WJ3RER9xtqwdhxkhw/edit?usp=sharing"",""นครนายก!M300"")"),0.0)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IFERROR(__xludf.DUMMYFUNCTION("IMPORTRANGE(""https://docs.google.com/spreadsheets/d/1SX6NBoVAgQJ6U1MVXOaj8PK2l7WJ3RER9xtqwdhxkhw/edit?usp=sharing"",""นครนายก!L301"")"),229370.0)</f>
        <v>229370</v>
      </c>
      <c r="M406" s="203"/>
      <c r="N406" s="203">
        <f>IFERROR(__xludf.DUMMYFUNCTION("IMPORTRANGE(""https://docs.google.com/spreadsheets/d/1SX6NBoVAgQJ6U1MVXOaj8PK2l7WJ3RER9xtqwdhxkhw/edit?usp=sharing"",""นครนายก!M301"")"),20350.0)</f>
        <v>20350</v>
      </c>
      <c r="O406" s="203">
        <f t="shared" si="113"/>
        <v>8.872128003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IFERROR(__xludf.DUMMYFUNCTION("IMPORTRANGE(""https://docs.google.com/spreadsheets/d/1SX6NBoVAgQJ6U1MVXOaj8PK2l7WJ3RER9xtqwdhxkhw/edit?usp=sharing"",""นครนายก!M302"")"),20350.0)</f>
        <v>20350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IFERROR(__xludf.DUMMYFUNCTION("IMPORTRANGE(""https://docs.google.com/spreadsheets/d/1SX6NBoVAgQJ6U1MVXOaj8PK2l7WJ3RER9xtqwdhxkhw/edit?usp=sharing"",""นครนายก!M303"")"),0.0)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IFERROR(__xludf.DUMMYFUNCTION("IMPORTRANGE(""https://docs.google.com/spreadsheets/d/1SX6NBoVAgQJ6U1MVXOaj8PK2l7WJ3RER9xtqwdhxkhw/edit?usp=sharing"",""นครนายก!M304"")"),0.0)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IFERROR(__xludf.DUMMYFUNCTION("IMPORTRANGE(""https://docs.google.com/spreadsheets/d/1SX6NBoVAgQJ6U1MVXOaj8PK2l7WJ3RER9xtqwdhxkhw/edit?usp=sharing"",""นครนายก!M305"")"),0.0)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IFERROR(__xludf.DUMMYFUNCTION("IMPORTRANGE(""https://docs.google.com/spreadsheets/d/1SX6NBoVAgQJ6U1MVXOaj8PK2l7WJ3RER9xtqwdhxkhw/edit?usp=sharing"",""นครนายก!J307"")"),0.0)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IFERROR(__xludf.DUMMYFUNCTION("IMPORTRANGE(""https://docs.google.com/spreadsheets/d/1SX6NBoVAgQJ6U1MVXOaj8PK2l7WJ3RER9xtqwdhxkhw/edit?usp=sharing"",""นครนายก!J308"")"),1.0)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IFERROR(__xludf.DUMMYFUNCTION("IMPORTRANGE(""https://docs.google.com/spreadsheets/d/1SX6NBoVAgQJ6U1MVXOaj8PK2l7WJ3RER9xtqwdhxkhw/edit?usp=sharing"",""นครนายก!J309"")"),0.0)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IFERROR(__xludf.DUMMYFUNCTION("IMPORTRANGE(""https://docs.google.com/spreadsheets/d/1SX6NBoVAgQJ6U1MVXOaj8PK2l7WJ3RER9xtqwdhxkhw/edit?usp=sharing"",""นครนายก!J310"")"),0.0)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IFERROR(__xludf.DUMMYFUNCTION("IMPORTRANGE(""https://docs.google.com/spreadsheets/d/1SX6NBoVAgQJ6U1MVXOaj8PK2l7WJ3RER9xtqwdhxkhw/edit?usp=sharing"",""นครนายก!I311"")"),68.0)</f>
        <v>68</v>
      </c>
      <c r="J416" s="235">
        <f>IFERROR(__xludf.DUMMYFUNCTION("IMPORTRANGE(""https://docs.google.com/spreadsheets/d/1SX6NBoVAgQJ6U1MVXOaj8PK2l7WJ3RER9xtqwdhxkhw/edit?usp=sharing"",""นครนายก!J311"")"),0.0)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IFERROR(__xludf.DUMMYFUNCTION("IMPORTRANGE(""https://docs.google.com/spreadsheets/d/1SX6NBoVAgQJ6U1MVXOaj8PK2l7WJ3RER9xtqwdhxkhw/edit?usp=sharing"",""นครนายก!I312"")"),30.0)</f>
        <v>30</v>
      </c>
      <c r="J417" s="425">
        <f>IFERROR(__xludf.DUMMYFUNCTION("IMPORTRANGE(""https://docs.google.com/spreadsheets/d/1SX6NBoVAgQJ6U1MVXOaj8PK2l7WJ3RER9xtqwdhxkhw/edit?usp=sharing"",""นครนายก!J312"")"),0.0)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IFERROR(__xludf.DUMMYFUNCTION("IMPORTRANGE(""https://docs.google.com/spreadsheets/d/1SX6NBoVAgQJ6U1MVXOaj8PK2l7WJ3RER9xtqwdhxkhw/edit?usp=sharing"",""นครนายก!I313"")"),90.0)</f>
        <v>90</v>
      </c>
      <c r="J418" s="426">
        <f>IFERROR(__xludf.DUMMYFUNCTION("IMPORTRANGE(""https://docs.google.com/spreadsheets/d/1SX6NBoVAgQJ6U1MVXOaj8PK2l7WJ3RER9xtqwdhxkhw/edit?usp=sharing"",""นครนายก!J313"")"),0.0)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IFERROR(__xludf.DUMMYFUNCTION("IMPORTRANGE(""https://docs.google.com/spreadsheets/d/1SX6NBoVAgQJ6U1MVXOaj8PK2l7WJ3RER9xtqwdhxkhw/edit?usp=sharing"",""นครนายก!I314"")"),30.0)</f>
        <v>30</v>
      </c>
      <c r="J419" s="427">
        <f>IFERROR(__xludf.DUMMYFUNCTION("IMPORTRANGE(""https://docs.google.com/spreadsheets/d/1SX6NBoVAgQJ6U1MVXOaj8PK2l7WJ3RER9xtqwdhxkhw/edit?usp=sharing"",""นครนายก!J314"")"),0.0)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IFERROR(__xludf.DUMMYFUNCTION("IMPORTRANGE(""https://docs.google.com/spreadsheets/d/1SX6NBoVAgQJ6U1MVXOaj8PK2l7WJ3RER9xtqwdhxkhw/edit?usp=sharing"",""นครนายก!I315"")"),30.0)</f>
        <v>30</v>
      </c>
      <c r="J420" s="427">
        <f>IFERROR(__xludf.DUMMYFUNCTION("IMPORTRANGE(""https://docs.google.com/spreadsheets/d/1SX6NBoVAgQJ6U1MVXOaj8PK2l7WJ3RER9xtqwdhxkhw/edit?usp=sharing"",""นครนายก!J315"")"),30.0)</f>
        <v>30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IFERROR(__xludf.DUMMYFUNCTION("IMPORTRANGE(""https://docs.google.com/spreadsheets/d/1SX6NBoVAgQJ6U1MVXOaj8PK2l7WJ3RER9xtqwdhxkhw/edit?usp=sharing"",""นครนายก!I316"")"),25.0)</f>
        <v>25</v>
      </c>
      <c r="J421" s="425">
        <f>IFERROR(__xludf.DUMMYFUNCTION("IMPORTRANGE(""https://docs.google.com/spreadsheets/d/1SX6NBoVAgQJ6U1MVXOaj8PK2l7WJ3RER9xtqwdhxkhw/edit?usp=sharing"",""นครนายก!J316"")"),0.0)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IFERROR(__xludf.DUMMYFUNCTION("IMPORTRANGE(""https://docs.google.com/spreadsheets/d/1SX6NBoVAgQJ6U1MVXOaj8PK2l7WJ3RER9xtqwdhxkhw/edit?usp=sharing"",""นครนายก!I317"")"),75.0)</f>
        <v>75</v>
      </c>
      <c r="J422" s="426">
        <f>IFERROR(__xludf.DUMMYFUNCTION("IMPORTRANGE(""https://docs.google.com/spreadsheets/d/1SX6NBoVAgQJ6U1MVXOaj8PK2l7WJ3RER9xtqwdhxkhw/edit?usp=sharing"",""นครนายก!J317"")"),0.0)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IFERROR(__xludf.DUMMYFUNCTION("IMPORTRANGE(""https://docs.google.com/spreadsheets/d/1SX6NBoVAgQJ6U1MVXOaj8PK2l7WJ3RER9xtqwdhxkhw/edit?usp=sharing"",""นครนายก!I318"")"),25.0)</f>
        <v>25</v>
      </c>
      <c r="J423" s="427">
        <f>IFERROR(__xludf.DUMMYFUNCTION("IMPORTRANGE(""https://docs.google.com/spreadsheets/d/1SX6NBoVAgQJ6U1MVXOaj8PK2l7WJ3RER9xtqwdhxkhw/edit?usp=sharing"",""นครนายก!J318"")"),0.0)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IFERROR(__xludf.DUMMYFUNCTION("IMPORTRANGE(""https://docs.google.com/spreadsheets/d/1SX6NBoVAgQJ6U1MVXOaj8PK2l7WJ3RER9xtqwdhxkhw/edit?usp=sharing"",""นครนายก!I319"")"),25.0)</f>
        <v>25</v>
      </c>
      <c r="J424" s="427">
        <f>IFERROR(__xludf.DUMMYFUNCTION("IMPORTRANGE(""https://docs.google.com/spreadsheets/d/1SX6NBoVAgQJ6U1MVXOaj8PK2l7WJ3RER9xtqwdhxkhw/edit?usp=sharing"",""นครนายก!J319"")"),0.0)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IFERROR(__xludf.DUMMYFUNCTION("IMPORTRANGE(""https://docs.google.com/spreadsheets/d/1SX6NBoVAgQJ6U1MVXOaj8PK2l7WJ3RER9xtqwdhxkhw/edit?usp=sharing"",""นครนายก!I320"")"),25.0)</f>
        <v>25</v>
      </c>
      <c r="J425" s="427">
        <f>IFERROR(__xludf.DUMMYFUNCTION("IMPORTRANGE(""https://docs.google.com/spreadsheets/d/1SX6NBoVAgQJ6U1MVXOaj8PK2l7WJ3RER9xtqwdhxkhw/edit?usp=sharing"",""นครนายก!J320"")"),0.0)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IFERROR(__xludf.DUMMYFUNCTION("IMPORTRANGE(""https://docs.google.com/spreadsheets/d/1SX6NBoVAgQJ6U1MVXOaj8PK2l7WJ3RER9xtqwdhxkhw/edit?usp=sharing"",""นครนายก!I321"")"),13.0)</f>
        <v>13</v>
      </c>
      <c r="J426" s="425">
        <f>IFERROR(__xludf.DUMMYFUNCTION("IMPORTRANGE(""https://docs.google.com/spreadsheets/d/1SX6NBoVAgQJ6U1MVXOaj8PK2l7WJ3RER9xtqwdhxkhw/edit?usp=sharing"",""นครนายก!J321"")"),0.0)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IFERROR(__xludf.DUMMYFUNCTION("IMPORTRANGE(""https://docs.google.com/spreadsheets/d/1SX6NBoVAgQJ6U1MVXOaj8PK2l7WJ3RER9xtqwdhxkhw/edit?usp=sharing"",""นครนายก!I322"")"),39.0)</f>
        <v>39</v>
      </c>
      <c r="J427" s="426">
        <f>IFERROR(__xludf.DUMMYFUNCTION("IMPORTRANGE(""https://docs.google.com/spreadsheets/d/1SX6NBoVAgQJ6U1MVXOaj8PK2l7WJ3RER9xtqwdhxkhw/edit?usp=sharing"",""นครนายก!J322"")"),0.0)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IFERROR(__xludf.DUMMYFUNCTION("IMPORTRANGE(""https://docs.google.com/spreadsheets/d/1SX6NBoVAgQJ6U1MVXOaj8PK2l7WJ3RER9xtqwdhxkhw/edit?usp=sharing"",""นครนายก!I323"")"),13.0)</f>
        <v>13</v>
      </c>
      <c r="J428" s="427">
        <f>IFERROR(__xludf.DUMMYFUNCTION("IMPORTRANGE(""https://docs.google.com/spreadsheets/d/1SX6NBoVAgQJ6U1MVXOaj8PK2l7WJ3RER9xtqwdhxkhw/edit?usp=sharing"",""นครนายก!J323"")"),0.0)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IFERROR(__xludf.DUMMYFUNCTION("IMPORTRANGE(""https://docs.google.com/spreadsheets/d/1SX6NBoVAgQJ6U1MVXOaj8PK2l7WJ3RER9xtqwdhxkhw/edit?usp=sharing"",""นครนายก!I324"")"),13.0)</f>
        <v>13</v>
      </c>
      <c r="J429" s="427">
        <f>IFERROR(__xludf.DUMMYFUNCTION("IMPORTRANGE(""https://docs.google.com/spreadsheets/d/1SX6NBoVAgQJ6U1MVXOaj8PK2l7WJ3RER9xtqwdhxkhw/edit?usp=sharing"",""นครนายก!J324"")"),0.0)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IFERROR(__xludf.DUMMYFUNCTION("IMPORTRANGE(""https://docs.google.com/spreadsheets/d/1SX6NBoVAgQJ6U1MVXOaj8PK2l7WJ3RER9xtqwdhxkhw/edit?usp=sharing"",""นครนายก!I325"")"),55.0)</f>
        <v>55</v>
      </c>
      <c r="J430" s="425">
        <f>IFERROR(__xludf.DUMMYFUNCTION("IMPORTRANGE(""https://docs.google.com/spreadsheets/d/1SX6NBoVAgQJ6U1MVXOaj8PK2l7WJ3RER9xtqwdhxkhw/edit?usp=sharing"",""นครนายก!J325"")"),0.0)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IFERROR(__xludf.DUMMYFUNCTION("IMPORTRANGE(""https://docs.google.com/spreadsheets/d/1SX6NBoVAgQJ6U1MVXOaj8PK2l7WJ3RER9xtqwdhxkhw/edit?usp=sharing"",""นครนายก!I326"")"),30.0)</f>
        <v>30</v>
      </c>
      <c r="J431" s="427">
        <f>IFERROR(__xludf.DUMMYFUNCTION("IMPORTRANGE(""https://docs.google.com/spreadsheets/d/1SX6NBoVAgQJ6U1MVXOaj8PK2l7WJ3RER9xtqwdhxkhw/edit?usp=sharing"",""นครนายก!J326"")"),0.0)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IFERROR(__xludf.DUMMYFUNCTION("IMPORTRANGE(""https://docs.google.com/spreadsheets/d/1SX6NBoVAgQJ6U1MVXOaj8PK2l7WJ3RER9xtqwdhxkhw/edit?usp=sharing"",""นครนายก!I327"")"),25.0)</f>
        <v>25</v>
      </c>
      <c r="J432" s="427">
        <f>IFERROR(__xludf.DUMMYFUNCTION("IMPORTRANGE(""https://docs.google.com/spreadsheets/d/1SX6NBoVAgQJ6U1MVXOaj8PK2l7WJ3RER9xtqwdhxkhw/edit?usp=sharing"",""นครนายก!J327"")"),0.0)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IFERROR(__xludf.DUMMYFUNCTION("IMPORTRANGE(""https://docs.google.com/spreadsheets/d/1SX6NBoVAgQJ6U1MVXOaj8PK2l7WJ3RER9xtqwdhxkhw/edit?usp=sharing"",""นครนายก!J328"")"),0.0)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IFERROR(__xludf.DUMMYFUNCTION("IMPORTRANGE(""https://docs.google.com/spreadsheets/d/1SX6NBoVAgQJ6U1MVXOaj8PK2l7WJ3RER9xtqwdhxkhw/edit?usp=sharing"",""นครนายก!J329"")"),0.0)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IFERROR(__xludf.DUMMYFUNCTION("IMPORTRANGE(""https://docs.google.com/spreadsheets/d/1SX6NBoVAgQJ6U1MVXOaj8PK2l7WJ3RER9xtqwdhxkhw/edit?usp=sharing"",""นครนายก!I330"")"),84.0)</f>
        <v>84</v>
      </c>
      <c r="J435" s="443">
        <f>IFERROR(__xludf.DUMMYFUNCTION("IMPORTRANGE(""https://docs.google.com/spreadsheets/d/1SX6NBoVAgQJ6U1MVXOaj8PK2l7WJ3RER9xtqwdhxkhw/edit?usp=sharing"",""นครนายก!J330"")"),84.0)</f>
        <v>84</v>
      </c>
      <c r="K435" s="444">
        <f>IF(I435&gt;0,J435*100/I435,0)</f>
        <v>100</v>
      </c>
      <c r="L435" s="445">
        <f>IFERROR(__xludf.DUMMYFUNCTION("IMPORTRANGE(""https://docs.google.com/spreadsheets/d/1SX6NBoVAgQJ6U1MVXOaj8PK2l7WJ3RER9xtqwdhxkhw/edit?usp=sharing"",""นครนายก!L330"")"),225000.0)</f>
        <v>225000</v>
      </c>
      <c r="M435" s="445"/>
      <c r="N435" s="445">
        <f>IFERROR(__xludf.DUMMYFUNCTION("IMPORTRANGE(""https://docs.google.com/spreadsheets/d/1SX6NBoVAgQJ6U1MVXOaj8PK2l7WJ3RER9xtqwdhxkhw/edit?usp=sharing"",""นครนายก!M330"")"),45100.0)</f>
        <v>45100</v>
      </c>
      <c r="O435" s="445">
        <f t="shared" ref="O435:O439" si="115">+IF(L435&gt;0,N435*100/L435,0)</f>
        <v>20.04444444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IFERROR(__xludf.DUMMYFUNCTION("IMPORTRANGE(""https://docs.google.com/spreadsheets/d/1SX6NBoVAgQJ6U1MVXOaj8PK2l7WJ3RER9xtqwdhxkhw/edit?usp=sharing"",""นครนายก!L331"")"),0.0)</f>
        <v>0</v>
      </c>
      <c r="M436" s="197"/>
      <c r="N436" s="203">
        <f>IFERROR(__xludf.DUMMYFUNCTION("IMPORTRANGE(""https://docs.google.com/spreadsheets/d/1SX6NBoVAgQJ6U1MVXOaj8PK2l7WJ3RER9xtqwdhxkhw/edit?usp=sharing"",""นครนายก!M331"")"),0.0)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IFERROR(__xludf.DUMMYFUNCTION("IMPORTRANGE(""https://docs.google.com/spreadsheets/d/1SX6NBoVAgQJ6U1MVXOaj8PK2l7WJ3RER9xtqwdhxkhw/edit?usp=sharing"",""นครนายก!L332"")"),225000.0)</f>
        <v>225000</v>
      </c>
      <c r="M437" s="198"/>
      <c r="N437" s="203">
        <f>IFERROR(__xludf.DUMMYFUNCTION("IMPORTRANGE(""https://docs.google.com/spreadsheets/d/1SX6NBoVAgQJ6U1MVXOaj8PK2l7WJ3RER9xtqwdhxkhw/edit?usp=sharing"",""นครนายก!M332"")"),45100.0)</f>
        <v>45100</v>
      </c>
      <c r="O437" s="203">
        <f t="shared" si="115"/>
        <v>20.04444444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IFERROR(__xludf.DUMMYFUNCTION("IMPORTRANGE(""https://docs.google.com/spreadsheets/d/1SX6NBoVAgQJ6U1MVXOaj8PK2l7WJ3RER9xtqwdhxkhw/edit?usp=sharing"",""นครนายก!L333"")"),0.0)</f>
        <v>0</v>
      </c>
      <c r="M438" s="203"/>
      <c r="N438" s="203">
        <f>IFERROR(__xludf.DUMMYFUNCTION("IMPORTRANGE(""https://docs.google.com/spreadsheets/d/1SX6NBoVAgQJ6U1MVXOaj8PK2l7WJ3RER9xtqwdhxkhw/edit?usp=sharing"",""นครนายก!M333"")"),0.0)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IFERROR(__xludf.DUMMYFUNCTION("IMPORTRANGE(""https://docs.google.com/spreadsheets/d/1SX6NBoVAgQJ6U1MVXOaj8PK2l7WJ3RER9xtqwdhxkhw/edit?usp=sharing"",""นครนายก!L334"")"),225000.0)</f>
        <v>225000</v>
      </c>
      <c r="M439" s="203"/>
      <c r="N439" s="203">
        <f>IFERROR(__xludf.DUMMYFUNCTION("IMPORTRANGE(""https://docs.google.com/spreadsheets/d/1SX6NBoVAgQJ6U1MVXOaj8PK2l7WJ3RER9xtqwdhxkhw/edit?usp=sharing"",""นครนายก!M334"")"),45100.0)</f>
        <v>45100</v>
      </c>
      <c r="O439" s="203">
        <f t="shared" si="115"/>
        <v>20.04444444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IFERROR(__xludf.DUMMYFUNCTION("IMPORTRANGE(""https://docs.google.com/spreadsheets/d/1SX6NBoVAgQJ6U1MVXOaj8PK2l7WJ3RER9xtqwdhxkhw/edit?usp=sharing"",""นครนายก!M335"")"),45100.0)</f>
        <v>45100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IFERROR(__xludf.DUMMYFUNCTION("IMPORTRANGE(""https://docs.google.com/spreadsheets/d/1SX6NBoVAgQJ6U1MVXOaj8PK2l7WJ3RER9xtqwdhxkhw/edit?usp=sharing"",""นครนายก!M336"")"),0.0)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IFERROR(__xludf.DUMMYFUNCTION("IMPORTRANGE(""https://docs.google.com/spreadsheets/d/1SX6NBoVAgQJ6U1MVXOaj8PK2l7WJ3RER9xtqwdhxkhw/edit?usp=sharing"",""นครนายก!M337"")"),0.0)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IFERROR(__xludf.DUMMYFUNCTION("IMPORTRANGE(""https://docs.google.com/spreadsheets/d/1SX6NBoVAgQJ6U1MVXOaj8PK2l7WJ3RER9xtqwdhxkhw/edit?usp=sharing"",""นครนายก!M338"")"),0.0)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IFERROR(__xludf.DUMMYFUNCTION("IMPORTRANGE(""https://docs.google.com/spreadsheets/d/1SX6NBoVAgQJ6U1MVXOaj8PK2l7WJ3RER9xtqwdhxkhw/edit?usp=sharing"",""นครนายก!J340"")"),0.0)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IFERROR(__xludf.DUMMYFUNCTION("IMPORTRANGE(""https://docs.google.com/spreadsheets/d/1SX6NBoVAgQJ6U1MVXOaj8PK2l7WJ3RER9xtqwdhxkhw/edit?usp=sharing"",""นครนายก!J341"")"),1.0)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IFERROR(__xludf.DUMMYFUNCTION("IMPORTRANGE(""https://docs.google.com/spreadsheets/d/1SX6NBoVAgQJ6U1MVXOaj8PK2l7WJ3RER9xtqwdhxkhw/edit?usp=sharing"",""นครนายก!J342"")"),0.0)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IFERROR(__xludf.DUMMYFUNCTION("IMPORTRANGE(""https://docs.google.com/spreadsheets/d/1SX6NBoVAgQJ6U1MVXOaj8PK2l7WJ3RER9xtqwdhxkhw/edit?usp=sharing"",""นครนายก!J343"")"),0.0)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IFERROR(__xludf.DUMMYFUNCTION("IMPORTRANGE(""https://docs.google.com/spreadsheets/d/1SX6NBoVAgQJ6U1MVXOaj8PK2l7WJ3RER9xtqwdhxkhw/edit?usp=sharing"",""นครนายก!I344"")"),84.0)</f>
        <v>84</v>
      </c>
      <c r="J449" s="235">
        <f>IFERROR(__xludf.DUMMYFUNCTION("IMPORTRANGE(""https://docs.google.com/spreadsheets/d/1SX6NBoVAgQJ6U1MVXOaj8PK2l7WJ3RER9xtqwdhxkhw/edit?usp=sharing"",""นครนายก!J344"")"),84.0)</f>
        <v>84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IFERROR(__xludf.DUMMYFUNCTION("IMPORTRANGE(""https://docs.google.com/spreadsheets/d/1SX6NBoVAgQJ6U1MVXOaj8PK2l7WJ3RER9xtqwdhxkhw/edit?usp=sharing"",""นครนายก!I345"")"),24.0)</f>
        <v>24</v>
      </c>
      <c r="J450" s="223">
        <f>IFERROR(__xludf.DUMMYFUNCTION("IMPORTRANGE(""https://docs.google.com/spreadsheets/d/1SX6NBoVAgQJ6U1MVXOaj8PK2l7WJ3RER9xtqwdhxkhw/edit?usp=sharing"",""นครนายก!J345"")"),24.0)</f>
        <v>24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IFERROR(__xludf.DUMMYFUNCTION("IMPORTRANGE(""https://docs.google.com/spreadsheets/d/1SX6NBoVAgQJ6U1MVXOaj8PK2l7WJ3RER9xtqwdhxkhw/edit?usp=sharing"",""นครนายก!I346"")"),60.0)</f>
        <v>60</v>
      </c>
      <c r="J451" s="222">
        <f>IFERROR(__xludf.DUMMYFUNCTION("IMPORTRANGE(""https://docs.google.com/spreadsheets/d/1SX6NBoVAgQJ6U1MVXOaj8PK2l7WJ3RER9xtqwdhxkhw/edit?usp=sharing"",""นครนายก!J346"")"),60.0)</f>
        <v>60</v>
      </c>
      <c r="K451" s="196">
        <f t="shared" si="116"/>
        <v>100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IFERROR(__xludf.DUMMYFUNCTION("IMPORTRANGE(""https://docs.google.com/spreadsheets/d/1SX6NBoVAgQJ6U1MVXOaj8PK2l7WJ3RER9xtqwdhxkhw/edit?usp=sharing"",""นครนายก!I347"")"),0.0)</f>
        <v>0</v>
      </c>
      <c r="J452" s="222">
        <f>IFERROR(__xludf.DUMMYFUNCTION("IMPORTRANGE(""https://docs.google.com/spreadsheets/d/1SX6NBoVAgQJ6U1MVXOaj8PK2l7WJ3RER9xtqwdhxkhw/edit?usp=sharing"",""นครนายก!J347"")"),0.0)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IFERROR(__xludf.DUMMYFUNCTION("IMPORTRANGE(""https://docs.google.com/spreadsheets/d/1SX6NBoVAgQJ6U1MVXOaj8PK2l7WJ3RER9xtqwdhxkhw/edit?usp=sharing"",""นครนายก!J348"")"),0.0)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IFERROR(__xludf.DUMMYFUNCTION("IMPORTRANGE(""https://docs.google.com/spreadsheets/d/1SX6NBoVAgQJ6U1MVXOaj8PK2l7WJ3RER9xtqwdhxkhw/edit?usp=sharing"",""นครนายก!J349"")"),0.0)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IFERROR(__xludf.DUMMYFUNCTION("IMPORTRANGE(""https://docs.google.com/spreadsheets/d/1SX6NBoVAgQJ6U1MVXOaj8PK2l7WJ3RER9xtqwdhxkhw/edit?usp=sharing"",""นครนายก!I350"")"),0.0)</f>
        <v>0</v>
      </c>
      <c r="J455" s="404">
        <f>IFERROR(__xludf.DUMMYFUNCTION("IMPORTRANGE(""https://docs.google.com/spreadsheets/d/1SX6NBoVAgQJ6U1MVXOaj8PK2l7WJ3RER9xtqwdhxkhw/edit?usp=sharing"",""นครนายก!J350"")"),0.0)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IFERROR(__xludf.DUMMYFUNCTION("IMPORTRANGE(""https://docs.google.com/spreadsheets/d/1SX6NBoVAgQJ6U1MVXOaj8PK2l7WJ3RER9xtqwdhxkhw/edit?usp=sharing"",""นครนายก!L350"")"),0.0)</f>
        <v>0</v>
      </c>
      <c r="M455" s="406"/>
      <c r="N455" s="406">
        <f>IFERROR(__xludf.DUMMYFUNCTION("IMPORTRANGE(""https://docs.google.com/spreadsheets/d/1SX6NBoVAgQJ6U1MVXOaj8PK2l7WJ3RER9xtqwdhxkhw/edit?usp=sharing"",""นครนายก!M350"")"),0.0)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IFERROR(__xludf.DUMMYFUNCTION("IMPORTRANGE(""https://docs.google.com/spreadsheets/d/1SX6NBoVAgQJ6U1MVXOaj8PK2l7WJ3RER9xtqwdhxkhw/edit?usp=sharing"",""นครนายก!L351"")"),0.0)</f>
        <v>0</v>
      </c>
      <c r="M456" s="197"/>
      <c r="N456" s="203">
        <f>IFERROR(__xludf.DUMMYFUNCTION("IMPORTRANGE(""https://docs.google.com/spreadsheets/d/1SX6NBoVAgQJ6U1MVXOaj8PK2l7WJ3RER9xtqwdhxkhw/edit?usp=sharing"",""นครนายก!M351"")"),0.0)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IFERROR(__xludf.DUMMYFUNCTION("IMPORTRANGE(""https://docs.google.com/spreadsheets/d/1SX6NBoVAgQJ6U1MVXOaj8PK2l7WJ3RER9xtqwdhxkhw/edit?usp=sharing"",""นครนายก!L352"")"),0.0)</f>
        <v>0</v>
      </c>
      <c r="M457" s="198"/>
      <c r="N457" s="203">
        <f>IFERROR(__xludf.DUMMYFUNCTION("IMPORTRANGE(""https://docs.google.com/spreadsheets/d/1SX6NBoVAgQJ6U1MVXOaj8PK2l7WJ3RER9xtqwdhxkhw/edit?usp=sharing"",""นครนายก!M352"")"),0.0)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IFERROR(__xludf.DUMMYFUNCTION("IMPORTRANGE(""https://docs.google.com/spreadsheets/d/1SX6NBoVAgQJ6U1MVXOaj8PK2l7WJ3RER9xtqwdhxkhw/edit?usp=sharing"",""นครนายก!L353"")"),0.0)</f>
        <v>0</v>
      </c>
      <c r="M458" s="203"/>
      <c r="N458" s="203">
        <f>IFERROR(__xludf.DUMMYFUNCTION("IMPORTRANGE(""https://docs.google.com/spreadsheets/d/1SX6NBoVAgQJ6U1MVXOaj8PK2l7WJ3RER9xtqwdhxkhw/edit?usp=sharing"",""นครนายก!M353"")"),0.0)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IFERROR(__xludf.DUMMYFUNCTION("IMPORTRANGE(""https://docs.google.com/spreadsheets/d/1SX6NBoVAgQJ6U1MVXOaj8PK2l7WJ3RER9xtqwdhxkhw/edit?usp=sharing"",""นครนายก!L354"")"),0.0)</f>
        <v>0</v>
      </c>
      <c r="M459" s="203"/>
      <c r="N459" s="203">
        <f>IFERROR(__xludf.DUMMYFUNCTION("IMPORTRANGE(""https://docs.google.com/spreadsheets/d/1SX6NBoVAgQJ6U1MVXOaj8PK2l7WJ3RER9xtqwdhxkhw/edit?usp=sharing"",""นครนายก!M354"")"),0.0)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IFERROR(__xludf.DUMMYFUNCTION("IMPORTRANGE(""https://docs.google.com/spreadsheets/d/1SX6NBoVAgQJ6U1MVXOaj8PK2l7WJ3RER9xtqwdhxkhw/edit?usp=sharing"",""นครนายก!M355"")"),0.0)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IFERROR(__xludf.DUMMYFUNCTION("IMPORTRANGE(""https://docs.google.com/spreadsheets/d/1SX6NBoVAgQJ6U1MVXOaj8PK2l7WJ3RER9xtqwdhxkhw/edit?usp=sharing"",""นครนายก!M356"")"),0.0)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IFERROR(__xludf.DUMMYFUNCTION("IMPORTRANGE(""https://docs.google.com/spreadsheets/d/1SX6NBoVAgQJ6U1MVXOaj8PK2l7WJ3RER9xtqwdhxkhw/edit?usp=sharing"",""นครนายก!M357"")"),0.0)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IFERROR(__xludf.DUMMYFUNCTION("IMPORTRANGE(""https://docs.google.com/spreadsheets/d/1SX6NBoVAgQJ6U1MVXOaj8PK2l7WJ3RER9xtqwdhxkhw/edit?usp=sharing"",""นครนายก!M358"")"),0.0)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IFERROR(__xludf.DUMMYFUNCTION("IMPORTRANGE(""https://docs.google.com/spreadsheets/d/1SX6NBoVAgQJ6U1MVXOaj8PK2l7WJ3RER9xtqwdhxkhw/edit?usp=sharing"",""นครนายก!I359"")"),0.0)</f>
        <v>0</v>
      </c>
      <c r="J464" s="301">
        <f>IFERROR(__xludf.DUMMYFUNCTION("IMPORTRANGE(""https://docs.google.com/spreadsheets/d/1SX6NBoVAgQJ6U1MVXOaj8PK2l7WJ3RER9xtqwdhxkhw/edit?usp=sharing"",""นครนายก!J359"")"),0.0)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IFERROR(__xludf.DUMMYFUNCTION("IMPORTRANGE(""https://docs.google.com/spreadsheets/d/1SX6NBoVAgQJ6U1MVXOaj8PK2l7WJ3RER9xtqwdhxkhw/edit?usp=sharing"",""นครนายก!I360"")"),0.0)</f>
        <v>0</v>
      </c>
      <c r="J465" s="453">
        <f>IFERROR(__xludf.DUMMYFUNCTION("IMPORTRANGE(""https://docs.google.com/spreadsheets/d/1SX6NBoVAgQJ6U1MVXOaj8PK2l7WJ3RER9xtqwdhxkhw/edit?usp=sharing"",""นครนายก!J360"")"),0.0)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IFERROR(__xludf.DUMMYFUNCTION("IMPORTRANGE(""https://docs.google.com/spreadsheets/d/1SX6NBoVAgQJ6U1MVXOaj8PK2l7WJ3RER9xtqwdhxkhw/edit?usp=sharing"",""นครนายก!I361"")"),0.0)</f>
        <v>0</v>
      </c>
      <c r="J466" s="453">
        <f>IFERROR(__xludf.DUMMYFUNCTION("IMPORTRANGE(""https://docs.google.com/spreadsheets/d/1SX6NBoVAgQJ6U1MVXOaj8PK2l7WJ3RER9xtqwdhxkhw/edit?usp=sharing"",""นครนายก!J361"")"),0.0)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IFERROR(__xludf.DUMMYFUNCTION("IMPORTRANGE(""https://docs.google.com/spreadsheets/d/1SX6NBoVAgQJ6U1MVXOaj8PK2l7WJ3RER9xtqwdhxkhw/edit?usp=sharing"",""นครนายก!I362"")"),0.0)</f>
        <v>0</v>
      </c>
      <c r="J467" s="223">
        <f>IFERROR(__xludf.DUMMYFUNCTION("IMPORTRANGE(""https://docs.google.com/spreadsheets/d/1SX6NBoVAgQJ6U1MVXOaj8PK2l7WJ3RER9xtqwdhxkhw/edit?usp=sharing"",""นครนายก!J362"")"),0.0)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IFERROR(__xludf.DUMMYFUNCTION("IMPORTRANGE(""https://docs.google.com/spreadsheets/d/1SX6NBoVAgQJ6U1MVXOaj8PK2l7WJ3RER9xtqwdhxkhw/edit?usp=sharing"",""นครนายก!I363"")"),0.0)</f>
        <v>0</v>
      </c>
      <c r="J468" s="223">
        <f>IFERROR(__xludf.DUMMYFUNCTION("IMPORTRANGE(""https://docs.google.com/spreadsheets/d/1SX6NBoVAgQJ6U1MVXOaj8PK2l7WJ3RER9xtqwdhxkhw/edit?usp=sharing"",""นครนายก!J363"")"),0.0)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IFERROR(__xludf.DUMMYFUNCTION("IMPORTRANGE(""https://docs.google.com/spreadsheets/d/1SX6NBoVAgQJ6U1MVXOaj8PK2l7WJ3RER9xtqwdhxkhw/edit?usp=sharing"",""นครนายก!I364"")"),0.0)</f>
        <v>0</v>
      </c>
      <c r="J469" s="223">
        <f>IFERROR(__xludf.DUMMYFUNCTION("IMPORTRANGE(""https://docs.google.com/spreadsheets/d/1SX6NBoVAgQJ6U1MVXOaj8PK2l7WJ3RER9xtqwdhxkhw/edit?usp=sharing"",""นครนายก!J364"")"),0.0)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IFERROR(__xludf.DUMMYFUNCTION("IMPORTRANGE(""https://docs.google.com/spreadsheets/d/1SX6NBoVAgQJ6U1MVXOaj8PK2l7WJ3RER9xtqwdhxkhw/edit?usp=sharing"",""นครนายก!I365"")"),0.0)</f>
        <v>0</v>
      </c>
      <c r="J470" s="223">
        <f>IFERROR(__xludf.DUMMYFUNCTION("IMPORTRANGE(""https://docs.google.com/spreadsheets/d/1SX6NBoVAgQJ6U1MVXOaj8PK2l7WJ3RER9xtqwdhxkhw/edit?usp=sharing"",""นครนายก!J365"")"),0.0)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IFERROR(__xludf.DUMMYFUNCTION("IMPORTRANGE(""https://docs.google.com/spreadsheets/d/1SX6NBoVAgQJ6U1MVXOaj8PK2l7WJ3RER9xtqwdhxkhw/edit?usp=sharing"",""นครนายก!I366"")"),0.0)</f>
        <v>0</v>
      </c>
      <c r="J471" s="223">
        <f>IFERROR(__xludf.DUMMYFUNCTION("IMPORTRANGE(""https://docs.google.com/spreadsheets/d/1SX6NBoVAgQJ6U1MVXOaj8PK2l7WJ3RER9xtqwdhxkhw/edit?usp=sharing"",""นครนายก!J366"")"),0.0)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IFERROR(__xludf.DUMMYFUNCTION("IMPORTRANGE(""https://docs.google.com/spreadsheets/d/1SX6NBoVAgQJ6U1MVXOaj8PK2l7WJ3RER9xtqwdhxkhw/edit?usp=sharing"",""นครนายก!I367"")"),0.0)</f>
        <v>0</v>
      </c>
      <c r="J472" s="223">
        <f>IFERROR(__xludf.DUMMYFUNCTION("IMPORTRANGE(""https://docs.google.com/spreadsheets/d/1SX6NBoVAgQJ6U1MVXOaj8PK2l7WJ3RER9xtqwdhxkhw/edit?usp=sharing"",""นครนายก!J367"")"),0.0)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IFERROR(__xludf.DUMMYFUNCTION("IMPORTRANGE(""https://docs.google.com/spreadsheets/d/1SX6NBoVAgQJ6U1MVXOaj8PK2l7WJ3RER9xtqwdhxkhw/edit?usp=sharing"",""นครนายก!I368"")"),0.0)</f>
        <v>0</v>
      </c>
      <c r="J473" s="453">
        <f>IFERROR(__xludf.DUMMYFUNCTION("IMPORTRANGE(""https://docs.google.com/spreadsheets/d/1SX6NBoVAgQJ6U1MVXOaj8PK2l7WJ3RER9xtqwdhxkhw/edit?usp=sharing"",""นครนายก!J368"")"),0.0)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IFERROR(__xludf.DUMMYFUNCTION("IMPORTRANGE(""https://docs.google.com/spreadsheets/d/1SX6NBoVAgQJ6U1MVXOaj8PK2l7WJ3RER9xtqwdhxkhw/edit?usp=sharing"",""นครนายก!I369"")"),0.0)</f>
        <v>0</v>
      </c>
      <c r="J474" s="453">
        <f>IFERROR(__xludf.DUMMYFUNCTION("IMPORTRANGE(""https://docs.google.com/spreadsheets/d/1SX6NBoVAgQJ6U1MVXOaj8PK2l7WJ3RER9xtqwdhxkhw/edit?usp=sharing"",""นครนายก!J369"")"),0.0)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IFERROR(__xludf.DUMMYFUNCTION("IMPORTRANGE(""https://docs.google.com/spreadsheets/d/1SX6NBoVAgQJ6U1MVXOaj8PK2l7WJ3RER9xtqwdhxkhw/edit?usp=sharing"",""นครนายก!I370"")"),0.0)</f>
        <v>0</v>
      </c>
      <c r="J475" s="223">
        <f>IFERROR(__xludf.DUMMYFUNCTION("IMPORTRANGE(""https://docs.google.com/spreadsheets/d/1SX6NBoVAgQJ6U1MVXOaj8PK2l7WJ3RER9xtqwdhxkhw/edit?usp=sharing"",""นครนายก!J370"")"),0.0)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IFERROR(__xludf.DUMMYFUNCTION("IMPORTRANGE(""https://docs.google.com/spreadsheets/d/1SX6NBoVAgQJ6U1MVXOaj8PK2l7WJ3RER9xtqwdhxkhw/edit?usp=sharing"",""นครนายก!I371"")"),0.0)</f>
        <v>0</v>
      </c>
      <c r="J476" s="223">
        <f>IFERROR(__xludf.DUMMYFUNCTION("IMPORTRANGE(""https://docs.google.com/spreadsheets/d/1SX6NBoVAgQJ6U1MVXOaj8PK2l7WJ3RER9xtqwdhxkhw/edit?usp=sharing"",""นครนายก!J371"")"),0.0)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IFERROR(__xludf.DUMMYFUNCTION("IMPORTRANGE(""https://docs.google.com/spreadsheets/d/1SX6NBoVAgQJ6U1MVXOaj8PK2l7WJ3RER9xtqwdhxkhw/edit?usp=sharing"",""นครนายก!I372"")"),0.0)</f>
        <v>0</v>
      </c>
      <c r="J477" s="223">
        <f>IFERROR(__xludf.DUMMYFUNCTION("IMPORTRANGE(""https://docs.google.com/spreadsheets/d/1SX6NBoVAgQJ6U1MVXOaj8PK2l7WJ3RER9xtqwdhxkhw/edit?usp=sharing"",""นครนายก!J372"")"),0.0)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IFERROR(__xludf.DUMMYFUNCTION("IMPORTRANGE(""https://docs.google.com/spreadsheets/d/1SX6NBoVAgQJ6U1MVXOaj8PK2l7WJ3RER9xtqwdhxkhw/edit?usp=sharing"",""นครนายก!I373"")"),0.0)</f>
        <v>0</v>
      </c>
      <c r="J478" s="223">
        <f>IFERROR(__xludf.DUMMYFUNCTION("IMPORTRANGE(""https://docs.google.com/spreadsheets/d/1SX6NBoVAgQJ6U1MVXOaj8PK2l7WJ3RER9xtqwdhxkhw/edit?usp=sharing"",""นครนายก!J373"")"),0.0)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IFERROR(__xludf.DUMMYFUNCTION("IMPORTRANGE(""https://docs.google.com/spreadsheets/d/1SX6NBoVAgQJ6U1MVXOaj8PK2l7WJ3RER9xtqwdhxkhw/edit?usp=sharing"",""นครนายก!I374"")"),0.0)</f>
        <v>0</v>
      </c>
      <c r="J479" s="223">
        <f>IFERROR(__xludf.DUMMYFUNCTION("IMPORTRANGE(""https://docs.google.com/spreadsheets/d/1SX6NBoVAgQJ6U1MVXOaj8PK2l7WJ3RER9xtqwdhxkhw/edit?usp=sharing"",""นครนายก!J374"")"),0.0)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IFERROR(__xludf.DUMMYFUNCTION("IMPORTRANGE(""https://docs.google.com/spreadsheets/d/1SX6NBoVAgQJ6U1MVXOaj8PK2l7WJ3RER9xtqwdhxkhw/edit?usp=sharing"",""นครนายก!I375"")"),0.0)</f>
        <v>0</v>
      </c>
      <c r="J480" s="223">
        <f>IFERROR(__xludf.DUMMYFUNCTION("IMPORTRANGE(""https://docs.google.com/spreadsheets/d/1SX6NBoVAgQJ6U1MVXOaj8PK2l7WJ3RER9xtqwdhxkhw/edit?usp=sharing"",""นครนายก!J375"")"),0.0)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IFERROR(__xludf.DUMMYFUNCTION("IMPORTRANGE(""https://docs.google.com/spreadsheets/d/1SX6NBoVAgQJ6U1MVXOaj8PK2l7WJ3RER9xtqwdhxkhw/edit?usp=sharing"",""นครนายก!I376"")"),0.0)</f>
        <v>0</v>
      </c>
      <c r="J481" s="453">
        <f>IFERROR(__xludf.DUMMYFUNCTION("IMPORTRANGE(""https://docs.google.com/spreadsheets/d/1SX6NBoVAgQJ6U1MVXOaj8PK2l7WJ3RER9xtqwdhxkhw/edit?usp=sharing"",""นครนายก!J376"")"),0.0)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IFERROR(__xludf.DUMMYFUNCTION("IMPORTRANGE(""https://docs.google.com/spreadsheets/d/1SX6NBoVAgQJ6U1MVXOaj8PK2l7WJ3RER9xtqwdhxkhw/edit?usp=sharing"",""นครนายก!I377"")"),0.0)</f>
        <v>0</v>
      </c>
      <c r="J482" s="453">
        <f>IFERROR(__xludf.DUMMYFUNCTION("IMPORTRANGE(""https://docs.google.com/spreadsheets/d/1SX6NBoVAgQJ6U1MVXOaj8PK2l7WJ3RER9xtqwdhxkhw/edit?usp=sharing"",""นครนายก!J377"")"),0.0)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IFERROR(__xludf.DUMMYFUNCTION("IMPORTRANGE(""https://docs.google.com/spreadsheets/d/1SX6NBoVAgQJ6U1MVXOaj8PK2l7WJ3RER9xtqwdhxkhw/edit?usp=sharing"",""นครนายก!I378"")"),0.0)</f>
        <v>0</v>
      </c>
      <c r="J483" s="223">
        <f>IFERROR(__xludf.DUMMYFUNCTION("IMPORTRANGE(""https://docs.google.com/spreadsheets/d/1SX6NBoVAgQJ6U1MVXOaj8PK2l7WJ3RER9xtqwdhxkhw/edit?usp=sharing"",""นครนายก!J378"")"),0.0)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IFERROR(__xludf.DUMMYFUNCTION("IMPORTRANGE(""https://docs.google.com/spreadsheets/d/1SX6NBoVAgQJ6U1MVXOaj8PK2l7WJ3RER9xtqwdhxkhw/edit?usp=sharing"",""นครนายก!I379"")"),0.0)</f>
        <v>0</v>
      </c>
      <c r="J484" s="223">
        <f>IFERROR(__xludf.DUMMYFUNCTION("IMPORTRANGE(""https://docs.google.com/spreadsheets/d/1SX6NBoVAgQJ6U1MVXOaj8PK2l7WJ3RER9xtqwdhxkhw/edit?usp=sharing"",""นครนายก!J379"")"),0.0)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IFERROR(__xludf.DUMMYFUNCTION("IMPORTRANGE(""https://docs.google.com/spreadsheets/d/1SX6NBoVAgQJ6U1MVXOaj8PK2l7WJ3RER9xtqwdhxkhw/edit?usp=sharing"",""นครนายก!I380"")"),0.0)</f>
        <v>0</v>
      </c>
      <c r="J485" s="223">
        <f>IFERROR(__xludf.DUMMYFUNCTION("IMPORTRANGE(""https://docs.google.com/spreadsheets/d/1SX6NBoVAgQJ6U1MVXOaj8PK2l7WJ3RER9xtqwdhxkhw/edit?usp=sharing"",""นครนายก!J380"")"),0.0)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IFERROR(__xludf.DUMMYFUNCTION("IMPORTRANGE(""https://docs.google.com/spreadsheets/d/1SX6NBoVAgQJ6U1MVXOaj8PK2l7WJ3RER9xtqwdhxkhw/edit?usp=sharing"",""นครนายก!I381"")"),0.0)</f>
        <v>0</v>
      </c>
      <c r="J486" s="223">
        <f>IFERROR(__xludf.DUMMYFUNCTION("IMPORTRANGE(""https://docs.google.com/spreadsheets/d/1SX6NBoVAgQJ6U1MVXOaj8PK2l7WJ3RER9xtqwdhxkhw/edit?usp=sharing"",""นครนายก!J381"")"),0.0)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IFERROR(__xludf.DUMMYFUNCTION("IMPORTRANGE(""https://docs.google.com/spreadsheets/d/1SX6NBoVAgQJ6U1MVXOaj8PK2l7WJ3RER9xtqwdhxkhw/edit?usp=sharing"",""นครนายก!I382"")"),0.0)</f>
        <v>0</v>
      </c>
      <c r="J487" s="453">
        <f>IFERROR(__xludf.DUMMYFUNCTION("IMPORTRANGE(""https://docs.google.com/spreadsheets/d/1SX6NBoVAgQJ6U1MVXOaj8PK2l7WJ3RER9xtqwdhxkhw/edit?usp=sharing"",""นครนายก!J382"")"),0.0)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IFERROR(__xludf.DUMMYFUNCTION("IMPORTRANGE(""https://docs.google.com/spreadsheets/d/1SX6NBoVAgQJ6U1MVXOaj8PK2l7WJ3RER9xtqwdhxkhw/edit?usp=sharing"",""นครนายก!I383"")"),0.0)</f>
        <v>0</v>
      </c>
      <c r="J488" s="453">
        <f>IFERROR(__xludf.DUMMYFUNCTION("IMPORTRANGE(""https://docs.google.com/spreadsheets/d/1SX6NBoVAgQJ6U1MVXOaj8PK2l7WJ3RER9xtqwdhxkhw/edit?usp=sharing"",""นครนายก!J383"")"),0.0)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IFERROR(__xludf.DUMMYFUNCTION("IMPORTRANGE(""https://docs.google.com/spreadsheets/d/1SX6NBoVAgQJ6U1MVXOaj8PK2l7WJ3RER9xtqwdhxkhw/edit?usp=sharing"",""นครนายก!I384"")"),0.0)</f>
        <v>0</v>
      </c>
      <c r="J489" s="223">
        <f>IFERROR(__xludf.DUMMYFUNCTION("IMPORTRANGE(""https://docs.google.com/spreadsheets/d/1SX6NBoVAgQJ6U1MVXOaj8PK2l7WJ3RER9xtqwdhxkhw/edit?usp=sharing"",""นครนายก!J384"")"),0.0)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IFERROR(__xludf.DUMMYFUNCTION("IMPORTRANGE(""https://docs.google.com/spreadsheets/d/1SX6NBoVAgQJ6U1MVXOaj8PK2l7WJ3RER9xtqwdhxkhw/edit?usp=sharing"",""นครนายก!I385"")"),0.0)</f>
        <v>0</v>
      </c>
      <c r="J490" s="223">
        <f>IFERROR(__xludf.DUMMYFUNCTION("IMPORTRANGE(""https://docs.google.com/spreadsheets/d/1SX6NBoVAgQJ6U1MVXOaj8PK2l7WJ3RER9xtqwdhxkhw/edit?usp=sharing"",""นครนายก!J385"")"),0.0)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IFERROR(__xludf.DUMMYFUNCTION("IMPORTRANGE(""https://docs.google.com/spreadsheets/d/1SX6NBoVAgQJ6U1MVXOaj8PK2l7WJ3RER9xtqwdhxkhw/edit?usp=sharing"",""นครนายก!I386"")"),0.0)</f>
        <v>0</v>
      </c>
      <c r="J491" s="223">
        <f>IFERROR(__xludf.DUMMYFUNCTION("IMPORTRANGE(""https://docs.google.com/spreadsheets/d/1SX6NBoVAgQJ6U1MVXOaj8PK2l7WJ3RER9xtqwdhxkhw/edit?usp=sharing"",""นครนายก!J386"")"),0.0)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IFERROR(__xludf.DUMMYFUNCTION("IMPORTRANGE(""https://docs.google.com/spreadsheets/d/1SX6NBoVAgQJ6U1MVXOaj8PK2l7WJ3RER9xtqwdhxkhw/edit?usp=sharing"",""นครนายก!I387"")"),0.0)</f>
        <v>0</v>
      </c>
      <c r="J492" s="223">
        <f>IFERROR(__xludf.DUMMYFUNCTION("IMPORTRANGE(""https://docs.google.com/spreadsheets/d/1SX6NBoVAgQJ6U1MVXOaj8PK2l7WJ3RER9xtqwdhxkhw/edit?usp=sharing"",""นครนายก!J387"")"),0.0)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IFERROR(__xludf.DUMMYFUNCTION("IMPORTRANGE(""https://docs.google.com/spreadsheets/d/1SX6NBoVAgQJ6U1MVXOaj8PK2l7WJ3RER9xtqwdhxkhw/edit?usp=sharing"",""นครนายก!I388"")"),0.0)</f>
        <v>0</v>
      </c>
      <c r="J493" s="223">
        <f>IFERROR(__xludf.DUMMYFUNCTION("IMPORTRANGE(""https://docs.google.com/spreadsheets/d/1SX6NBoVAgQJ6U1MVXOaj8PK2l7WJ3RER9xtqwdhxkhw/edit?usp=sharing"",""นครนายก!J388"")"),0.0)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IFERROR(__xludf.DUMMYFUNCTION("IMPORTRANGE(""https://docs.google.com/spreadsheets/d/1SX6NBoVAgQJ6U1MVXOaj8PK2l7WJ3RER9xtqwdhxkhw/edit?usp=sharing"",""นครนายก!I389"")"),0.0)</f>
        <v>0</v>
      </c>
      <c r="J494" s="469">
        <f>IFERROR(__xludf.DUMMYFUNCTION("IMPORTRANGE(""https://docs.google.com/spreadsheets/d/1SX6NBoVAgQJ6U1MVXOaj8PK2l7WJ3RER9xtqwdhxkhw/edit?usp=sharing"",""นครนายก!J389"")"),0.0)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IFERROR(__xludf.DUMMYFUNCTION("IMPORTRANGE(""https://docs.google.com/spreadsheets/d/1SX6NBoVAgQJ6U1MVXOaj8PK2l7WJ3RER9xtqwdhxkhw/edit?usp=sharing"",""นครนายก!I390"")"),0.0)</f>
        <v>0</v>
      </c>
      <c r="J495" s="469">
        <f>IFERROR(__xludf.DUMMYFUNCTION("IMPORTRANGE(""https://docs.google.com/spreadsheets/d/1SX6NBoVAgQJ6U1MVXOaj8PK2l7WJ3RER9xtqwdhxkhw/edit?usp=sharing"",""นครนายก!J390"")"),0.0)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IFERROR(__xludf.DUMMYFUNCTION("IMPORTRANGE(""https://docs.google.com/spreadsheets/d/1SX6NBoVAgQJ6U1MVXOaj8PK2l7WJ3RER9xtqwdhxkhw/edit?usp=sharing"",""นครนายก!I391"")"),0.0)</f>
        <v>0</v>
      </c>
      <c r="J496" s="469">
        <f>IFERROR(__xludf.DUMMYFUNCTION("IMPORTRANGE(""https://docs.google.com/spreadsheets/d/1SX6NBoVAgQJ6U1MVXOaj8PK2l7WJ3RER9xtqwdhxkhw/edit?usp=sharing"",""นครนายก!J391"")"),0.0)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IFERROR(__xludf.DUMMYFUNCTION("IMPORTRANGE(""https://docs.google.com/spreadsheets/d/1SX6NBoVAgQJ6U1MVXOaj8PK2l7WJ3RER9xtqwdhxkhw/edit?usp=sharing"",""นครนายก!I392"")"),0.0)</f>
        <v>0</v>
      </c>
      <c r="J497" s="476">
        <f>IFERROR(__xludf.DUMMYFUNCTION("IMPORTRANGE(""https://docs.google.com/spreadsheets/d/1SX6NBoVAgQJ6U1MVXOaj8PK2l7WJ3RER9xtqwdhxkhw/edit?usp=sharing"",""นครนายก!J392"")"),0.0)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IFERROR(__xludf.DUMMYFUNCTION("IMPORTRANGE(""https://docs.google.com/spreadsheets/d/1SX6NBoVAgQJ6U1MVXOaj8PK2l7WJ3RER9xtqwdhxkhw/edit?usp=sharing"",""นครนายก!I393"")"),0.0)</f>
        <v>0</v>
      </c>
      <c r="J498" s="453">
        <f>IFERROR(__xludf.DUMMYFUNCTION("IMPORTRANGE(""https://docs.google.com/spreadsheets/d/1SX6NBoVAgQJ6U1MVXOaj8PK2l7WJ3RER9xtqwdhxkhw/edit?usp=sharing"",""นครนายก!J393"")"),0.0)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IFERROR(__xludf.DUMMYFUNCTION("IMPORTRANGE(""https://docs.google.com/spreadsheets/d/1SX6NBoVAgQJ6U1MVXOaj8PK2l7WJ3RER9xtqwdhxkhw/edit?usp=sharing"",""นครนายก!I394"")"),0.0)</f>
        <v>0</v>
      </c>
      <c r="J499" s="453">
        <f>IFERROR(__xludf.DUMMYFUNCTION("IMPORTRANGE(""https://docs.google.com/spreadsheets/d/1SX6NBoVAgQJ6U1MVXOaj8PK2l7WJ3RER9xtqwdhxkhw/edit?usp=sharing"",""นครนายก!J394"")"),0.0)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IFERROR(__xludf.DUMMYFUNCTION("IMPORTRANGE(""https://docs.google.com/spreadsheets/d/1SX6NBoVAgQJ6U1MVXOaj8PK2l7WJ3RER9xtqwdhxkhw/edit?usp=sharing"",""นครนายก!I395"")"),0.0)</f>
        <v>0</v>
      </c>
      <c r="J500" s="195">
        <f>IFERROR(__xludf.DUMMYFUNCTION("IMPORTRANGE(""https://docs.google.com/spreadsheets/d/1SX6NBoVAgQJ6U1MVXOaj8PK2l7WJ3RER9xtqwdhxkhw/edit?usp=sharing"",""นครนายก!J395"")"),0.0)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IFERROR(__xludf.DUMMYFUNCTION("IMPORTRANGE(""https://docs.google.com/spreadsheets/d/1SX6NBoVAgQJ6U1MVXOaj8PK2l7WJ3RER9xtqwdhxkhw/edit?usp=sharing"",""นครนายก!I396"")"),0.0)</f>
        <v>0</v>
      </c>
      <c r="J501" s="195">
        <f>IFERROR(__xludf.DUMMYFUNCTION("IMPORTRANGE(""https://docs.google.com/spreadsheets/d/1SX6NBoVAgQJ6U1MVXOaj8PK2l7WJ3RER9xtqwdhxkhw/edit?usp=sharing"",""นครนายก!J396"")"),0.0)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IFERROR(__xludf.DUMMYFUNCTION("IMPORTRANGE(""https://docs.google.com/spreadsheets/d/1SX6NBoVAgQJ6U1MVXOaj8PK2l7WJ3RER9xtqwdhxkhw/edit?usp=sharing"",""นครนายก!I397"")"),0.0)</f>
        <v>0</v>
      </c>
      <c r="J502" s="223">
        <f>IFERROR(__xludf.DUMMYFUNCTION("IMPORTRANGE(""https://docs.google.com/spreadsheets/d/1SX6NBoVAgQJ6U1MVXOaj8PK2l7WJ3RER9xtqwdhxkhw/edit?usp=sharing"",""นครนายก!J397"")"),0.0)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IFERROR(__xludf.DUMMYFUNCTION("IMPORTRANGE(""https://docs.google.com/spreadsheets/d/1SX6NBoVAgQJ6U1MVXOaj8PK2l7WJ3RER9xtqwdhxkhw/edit?usp=sharing"",""นครนายก!I398"")"),0.0)</f>
        <v>0</v>
      </c>
      <c r="J503" s="232">
        <f>IFERROR(__xludf.DUMMYFUNCTION("IMPORTRANGE(""https://docs.google.com/spreadsheets/d/1SX6NBoVAgQJ6U1MVXOaj8PK2l7WJ3RER9xtqwdhxkhw/edit?usp=sharing"",""นครนายก!J398"")"),0.0)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IFERROR(__xludf.DUMMYFUNCTION("IMPORTRANGE(""https://docs.google.com/spreadsheets/d/1SX6NBoVAgQJ6U1MVXOaj8PK2l7WJ3RER9xtqwdhxkhw/edit?usp=sharing"",""นครนายก!I399"")"),0.0)</f>
        <v>0</v>
      </c>
      <c r="J504" s="223">
        <f>IFERROR(__xludf.DUMMYFUNCTION("IMPORTRANGE(""https://docs.google.com/spreadsheets/d/1SX6NBoVAgQJ6U1MVXOaj8PK2l7WJ3RER9xtqwdhxkhw/edit?usp=sharing"",""นครนายก!J399"")"),0.0)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IFERROR(__xludf.DUMMYFUNCTION("IMPORTRANGE(""https://docs.google.com/spreadsheets/d/1SX6NBoVAgQJ6U1MVXOaj8PK2l7WJ3RER9xtqwdhxkhw/edit?usp=sharing"",""นครนายก!I400"")"),0.0)</f>
        <v>0</v>
      </c>
      <c r="J505" s="232">
        <f>IFERROR(__xludf.DUMMYFUNCTION("IMPORTRANGE(""https://docs.google.com/spreadsheets/d/1SX6NBoVAgQJ6U1MVXOaj8PK2l7WJ3RER9xtqwdhxkhw/edit?usp=sharing"",""นครนายก!J400"")"),0.0)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IFERROR(__xludf.DUMMYFUNCTION("IMPORTRANGE(""https://docs.google.com/spreadsheets/d/1SX6NBoVAgQJ6U1MVXOaj8PK2l7WJ3RER9xtqwdhxkhw/edit?usp=sharing"",""นครนายก!I401"")"),0.0)</f>
        <v>0</v>
      </c>
      <c r="J506" s="223">
        <f>IFERROR(__xludf.DUMMYFUNCTION("IMPORTRANGE(""https://docs.google.com/spreadsheets/d/1SX6NBoVAgQJ6U1MVXOaj8PK2l7WJ3RER9xtqwdhxkhw/edit?usp=sharing"",""นครนายก!J401"")"),0.0)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IFERROR(__xludf.DUMMYFUNCTION("IMPORTRANGE(""https://docs.google.com/spreadsheets/d/1SX6NBoVAgQJ6U1MVXOaj8PK2l7WJ3RER9xtqwdhxkhw/edit?usp=sharing"",""นครนายก!I402"")"),0.0)</f>
        <v>0</v>
      </c>
      <c r="J507" s="232">
        <f>IFERROR(__xludf.DUMMYFUNCTION("IMPORTRANGE(""https://docs.google.com/spreadsheets/d/1SX6NBoVAgQJ6U1MVXOaj8PK2l7WJ3RER9xtqwdhxkhw/edit?usp=sharing"",""นครนายก!J402"")"),0.0)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IFERROR(__xludf.DUMMYFUNCTION("IMPORTRANGE(""https://docs.google.com/spreadsheets/d/1SX6NBoVAgQJ6U1MVXOaj8PK2l7WJ3RER9xtqwdhxkhw/edit?usp=sharing"",""นครนายก!I403"")"),0.0)</f>
        <v>0</v>
      </c>
      <c r="J508" s="195">
        <f>IFERROR(__xludf.DUMMYFUNCTION("IMPORTRANGE(""https://docs.google.com/spreadsheets/d/1SX6NBoVAgQJ6U1MVXOaj8PK2l7WJ3RER9xtqwdhxkhw/edit?usp=sharing"",""นครนายก!J403"")"),0.0)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IFERROR(__xludf.DUMMYFUNCTION("IMPORTRANGE(""https://docs.google.com/spreadsheets/d/1SX6NBoVAgQJ6U1MVXOaj8PK2l7WJ3RER9xtqwdhxkhw/edit?usp=sharing"",""นครนายก!I404"")"),0.0)</f>
        <v>0</v>
      </c>
      <c r="J509" s="195">
        <f>IFERROR(__xludf.DUMMYFUNCTION("IMPORTRANGE(""https://docs.google.com/spreadsheets/d/1SX6NBoVAgQJ6U1MVXOaj8PK2l7WJ3RER9xtqwdhxkhw/edit?usp=sharing"",""นครนายก!J404"")"),0.0)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IFERROR(__xludf.DUMMYFUNCTION("IMPORTRANGE(""https://docs.google.com/spreadsheets/d/1SX6NBoVAgQJ6U1MVXOaj8PK2l7WJ3RER9xtqwdhxkhw/edit?usp=sharing"",""นครนายก!I405"")"),0.0)</f>
        <v>0</v>
      </c>
      <c r="J510" s="232">
        <f>IFERROR(__xludf.DUMMYFUNCTION("IMPORTRANGE(""https://docs.google.com/spreadsheets/d/1SX6NBoVAgQJ6U1MVXOaj8PK2l7WJ3RER9xtqwdhxkhw/edit?usp=sharing"",""นครนายก!J405"")"),0.0)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IFERROR(__xludf.DUMMYFUNCTION("IMPORTRANGE(""https://docs.google.com/spreadsheets/d/1SX6NBoVAgQJ6U1MVXOaj8PK2l7WJ3RER9xtqwdhxkhw/edit?usp=sharing"",""นครนายก!I406"")"),0.0)</f>
        <v>0</v>
      </c>
      <c r="J511" s="232">
        <f>IFERROR(__xludf.DUMMYFUNCTION("IMPORTRANGE(""https://docs.google.com/spreadsheets/d/1SX6NBoVAgQJ6U1MVXOaj8PK2l7WJ3RER9xtqwdhxkhw/edit?usp=sharing"",""นครนายก!J406"")"),0.0)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IFERROR(__xludf.DUMMYFUNCTION("IMPORTRANGE(""https://docs.google.com/spreadsheets/d/1SX6NBoVAgQJ6U1MVXOaj8PK2l7WJ3RER9xtqwdhxkhw/edit?usp=sharing"",""นครนายก!I407"")"),0.0)</f>
        <v>0</v>
      </c>
      <c r="J512" s="232">
        <f>IFERROR(__xludf.DUMMYFUNCTION("IMPORTRANGE(""https://docs.google.com/spreadsheets/d/1SX6NBoVAgQJ6U1MVXOaj8PK2l7WJ3RER9xtqwdhxkhw/edit?usp=sharing"",""นครนายก!J407"")"),0.0)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IFERROR(__xludf.DUMMYFUNCTION("IMPORTRANGE(""https://docs.google.com/spreadsheets/d/1SX6NBoVAgQJ6U1MVXOaj8PK2l7WJ3RER9xtqwdhxkhw/edit?usp=sharing"",""นครนายก!I408"")"),0.0)</f>
        <v>0</v>
      </c>
      <c r="J513" s="232">
        <f>IFERROR(__xludf.DUMMYFUNCTION("IMPORTRANGE(""https://docs.google.com/spreadsheets/d/1SX6NBoVAgQJ6U1MVXOaj8PK2l7WJ3RER9xtqwdhxkhw/edit?usp=sharing"",""นครนายก!J408"")"),0.0)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IFERROR(__xludf.DUMMYFUNCTION("IMPORTRANGE(""https://docs.google.com/spreadsheets/d/1SX6NBoVAgQJ6U1MVXOaj8PK2l7WJ3RER9xtqwdhxkhw/edit?usp=sharing"",""นครนายก!I409"")"),0.0)</f>
        <v>0</v>
      </c>
      <c r="J514" s="232">
        <f>IFERROR(__xludf.DUMMYFUNCTION("IMPORTRANGE(""https://docs.google.com/spreadsheets/d/1SX6NBoVAgQJ6U1MVXOaj8PK2l7WJ3RER9xtqwdhxkhw/edit?usp=sharing"",""นครนายก!J409"")"),0.0)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IFERROR(__xludf.DUMMYFUNCTION("IMPORTRANGE(""https://docs.google.com/spreadsheets/d/1SX6NBoVAgQJ6U1MVXOaj8PK2l7WJ3RER9xtqwdhxkhw/edit?usp=sharing"",""นครนายก!I410"")"),0.0)</f>
        <v>0</v>
      </c>
      <c r="J515" s="232">
        <f>IFERROR(__xludf.DUMMYFUNCTION("IMPORTRANGE(""https://docs.google.com/spreadsheets/d/1SX6NBoVAgQJ6U1MVXOaj8PK2l7WJ3RER9xtqwdhxkhw/edit?usp=sharing"",""นครนายก!J410"")"),0.0)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IFERROR(__xludf.DUMMYFUNCTION("IMPORTRANGE(""https://docs.google.com/spreadsheets/d/1SX6NBoVAgQJ6U1MVXOaj8PK2l7WJ3RER9xtqwdhxkhw/edit?usp=sharing"",""นครนายก!I411"")"),0.0)</f>
        <v>0</v>
      </c>
      <c r="J516" s="301">
        <f>IFERROR(__xludf.DUMMYFUNCTION("IMPORTRANGE(""https://docs.google.com/spreadsheets/d/1SX6NBoVAgQJ6U1MVXOaj8PK2l7WJ3RER9xtqwdhxkhw/edit?usp=sharing"",""นครนายก!J411"")"),0.0)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IFERROR(__xludf.DUMMYFUNCTION("IMPORTRANGE(""https://docs.google.com/spreadsheets/d/1SX6NBoVAgQJ6U1MVXOaj8PK2l7WJ3RER9xtqwdhxkhw/edit?usp=sharing"",""นครนายก!I412"")"),0.0)</f>
        <v>0</v>
      </c>
      <c r="J517" s="317">
        <f>IFERROR(__xludf.DUMMYFUNCTION("IMPORTRANGE(""https://docs.google.com/spreadsheets/d/1SX6NBoVAgQJ6U1MVXOaj8PK2l7WJ3RER9xtqwdhxkhw/edit?usp=sharing"",""นครนายก!J412"")"),0.0)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IFERROR(__xludf.DUMMYFUNCTION("IMPORTRANGE(""https://docs.google.com/spreadsheets/d/1SX6NBoVAgQJ6U1MVXOaj8PK2l7WJ3RER9xtqwdhxkhw/edit?usp=sharing"",""นครนายก!I413"")"),0.0)</f>
        <v>0</v>
      </c>
      <c r="J518" s="317">
        <f>IFERROR(__xludf.DUMMYFUNCTION("IMPORTRANGE(""https://docs.google.com/spreadsheets/d/1SX6NBoVAgQJ6U1MVXOaj8PK2l7WJ3RER9xtqwdhxkhw/edit?usp=sharing"",""นครนายก!J413"")"),0.0)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IFERROR(__xludf.DUMMYFUNCTION("IMPORTRANGE(""https://docs.google.com/spreadsheets/d/1SX6NBoVAgQJ6U1MVXOaj8PK2l7WJ3RER9xtqwdhxkhw/edit?usp=sharing"",""นครนายก!I414"")"),0.0)</f>
        <v>0</v>
      </c>
      <c r="J519" s="222">
        <f>IFERROR(__xludf.DUMMYFUNCTION("IMPORTRANGE(""https://docs.google.com/spreadsheets/d/1SX6NBoVAgQJ6U1MVXOaj8PK2l7WJ3RER9xtqwdhxkhw/edit?usp=sharing"",""นครนายก!J414"")"),0.0)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IFERROR(__xludf.DUMMYFUNCTION("IMPORTRANGE(""https://docs.google.com/spreadsheets/d/1SX6NBoVAgQJ6U1MVXOaj8PK2l7WJ3RER9xtqwdhxkhw/edit?usp=sharing"",""นครนายก!I415"")"),0.0)</f>
        <v>0</v>
      </c>
      <c r="J520" s="222">
        <f>IFERROR(__xludf.DUMMYFUNCTION("IMPORTRANGE(""https://docs.google.com/spreadsheets/d/1SX6NBoVAgQJ6U1MVXOaj8PK2l7WJ3RER9xtqwdhxkhw/edit?usp=sharing"",""นครนายก!J415"")"),0.0)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IFERROR(__xludf.DUMMYFUNCTION("IMPORTRANGE(""https://docs.google.com/spreadsheets/d/1SX6NBoVAgQJ6U1MVXOaj8PK2l7WJ3RER9xtqwdhxkhw/edit?usp=sharing"",""นครนายก!I416"")"),0.0)</f>
        <v>0</v>
      </c>
      <c r="J521" s="222">
        <f>IFERROR(__xludf.DUMMYFUNCTION("IMPORTRANGE(""https://docs.google.com/spreadsheets/d/1SX6NBoVAgQJ6U1MVXOaj8PK2l7WJ3RER9xtqwdhxkhw/edit?usp=sharing"",""นครนายก!J416"")"),0.0)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IFERROR(__xludf.DUMMYFUNCTION("IMPORTRANGE(""https://docs.google.com/spreadsheets/d/1SX6NBoVAgQJ6U1MVXOaj8PK2l7WJ3RER9xtqwdhxkhw/edit?usp=sharing"",""นครนายก!I417"")"),0.0)</f>
        <v>0</v>
      </c>
      <c r="J522" s="222">
        <f>IFERROR(__xludf.DUMMYFUNCTION("IMPORTRANGE(""https://docs.google.com/spreadsheets/d/1SX6NBoVAgQJ6U1MVXOaj8PK2l7WJ3RER9xtqwdhxkhw/edit?usp=sharing"",""นครนายก!J417"")"),0.0)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IFERROR(__xludf.DUMMYFUNCTION("IMPORTRANGE(""https://docs.google.com/spreadsheets/d/1SX6NBoVAgQJ6U1MVXOaj8PK2l7WJ3RER9xtqwdhxkhw/edit?usp=sharing"",""นครนายก!I418"")"),0.0)</f>
        <v>0</v>
      </c>
      <c r="J523" s="222">
        <f>IFERROR(__xludf.DUMMYFUNCTION("IMPORTRANGE(""https://docs.google.com/spreadsheets/d/1SX6NBoVAgQJ6U1MVXOaj8PK2l7WJ3RER9xtqwdhxkhw/edit?usp=sharing"",""นครนายก!J418"")"),0.0)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IFERROR(__xludf.DUMMYFUNCTION("IMPORTRANGE(""https://docs.google.com/spreadsheets/d/1SX6NBoVAgQJ6U1MVXOaj8PK2l7WJ3RER9xtqwdhxkhw/edit?usp=sharing"",""นครนายก!I419"")"),0.0)</f>
        <v>0</v>
      </c>
      <c r="J524" s="222">
        <f>IFERROR(__xludf.DUMMYFUNCTION("IMPORTRANGE(""https://docs.google.com/spreadsheets/d/1SX6NBoVAgQJ6U1MVXOaj8PK2l7WJ3RER9xtqwdhxkhw/edit?usp=sharing"",""นครนายก!J419"")"),0.0)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IFERROR(__xludf.DUMMYFUNCTION("IMPORTRANGE(""https://docs.google.com/spreadsheets/d/1SX6NBoVAgQJ6U1MVXOaj8PK2l7WJ3RER9xtqwdhxkhw/edit?usp=sharing"",""นครนายก!I420"")"),0.0)</f>
        <v>0</v>
      </c>
      <c r="J525" s="317">
        <f>IFERROR(__xludf.DUMMYFUNCTION("IMPORTRANGE(""https://docs.google.com/spreadsheets/d/1SX6NBoVAgQJ6U1MVXOaj8PK2l7WJ3RER9xtqwdhxkhw/edit?usp=sharing"",""นครนายก!J420"")"),0.0)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IFERROR(__xludf.DUMMYFUNCTION("IMPORTRANGE(""https://docs.google.com/spreadsheets/d/1SX6NBoVAgQJ6U1MVXOaj8PK2l7WJ3RER9xtqwdhxkhw/edit?usp=sharing"",""นครนายก!I421"")"),0.0)</f>
        <v>0</v>
      </c>
      <c r="J526" s="317">
        <f>IFERROR(__xludf.DUMMYFUNCTION("IMPORTRANGE(""https://docs.google.com/spreadsheets/d/1SX6NBoVAgQJ6U1MVXOaj8PK2l7WJ3RER9xtqwdhxkhw/edit?usp=sharing"",""นครนายก!J421"")"),0.0)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IFERROR(__xludf.DUMMYFUNCTION("IMPORTRANGE(""https://docs.google.com/spreadsheets/d/1SX6NBoVAgQJ6U1MVXOaj8PK2l7WJ3RER9xtqwdhxkhw/edit?usp=sharing"",""นครนายก!I422"")"),0.0)</f>
        <v>0</v>
      </c>
      <c r="J527" s="232">
        <f>IFERROR(__xludf.DUMMYFUNCTION("IMPORTRANGE(""https://docs.google.com/spreadsheets/d/1SX6NBoVAgQJ6U1MVXOaj8PK2l7WJ3RER9xtqwdhxkhw/edit?usp=sharing"",""นครนายก!J422"")"),0.0)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IFERROR(__xludf.DUMMYFUNCTION("IMPORTRANGE(""https://docs.google.com/spreadsheets/d/1SX6NBoVAgQJ6U1MVXOaj8PK2l7WJ3RER9xtqwdhxkhw/edit?usp=sharing"",""นครนายก!I423"")"),0.0)</f>
        <v>0</v>
      </c>
      <c r="J528" s="232">
        <f>IFERROR(__xludf.DUMMYFUNCTION("IMPORTRANGE(""https://docs.google.com/spreadsheets/d/1SX6NBoVAgQJ6U1MVXOaj8PK2l7WJ3RER9xtqwdhxkhw/edit?usp=sharing"",""นครนายก!J423"")"),0.0)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IFERROR(__xludf.DUMMYFUNCTION("IMPORTRANGE(""https://docs.google.com/spreadsheets/d/1SX6NBoVAgQJ6U1MVXOaj8PK2l7WJ3RER9xtqwdhxkhw/edit?usp=sharing"",""นครนายก!I424"")"),0.0)</f>
        <v>0</v>
      </c>
      <c r="J529" s="232">
        <f>IFERROR(__xludf.DUMMYFUNCTION("IMPORTRANGE(""https://docs.google.com/spreadsheets/d/1SX6NBoVAgQJ6U1MVXOaj8PK2l7WJ3RER9xtqwdhxkhw/edit?usp=sharing"",""นครนายก!J424"")"),0.0)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IFERROR(__xludf.DUMMYFUNCTION("IMPORTRANGE(""https://docs.google.com/spreadsheets/d/1SX6NBoVAgQJ6U1MVXOaj8PK2l7WJ3RER9xtqwdhxkhw/edit?usp=sharing"",""นครนายก!I425"")"),0.0)</f>
        <v>0</v>
      </c>
      <c r="J530" s="232">
        <f>IFERROR(__xludf.DUMMYFUNCTION("IMPORTRANGE(""https://docs.google.com/spreadsheets/d/1SX6NBoVAgQJ6U1MVXOaj8PK2l7WJ3RER9xtqwdhxkhw/edit?usp=sharing"",""นครนายก!J425"")"),0.0)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IFERROR(__xludf.DUMMYFUNCTION("IMPORTRANGE(""https://docs.google.com/spreadsheets/d/1SX6NBoVAgQJ6U1MVXOaj8PK2l7WJ3RER9xtqwdhxkhw/edit?usp=sharing"",""นครนายก!I426"")"),0.0)</f>
        <v>0</v>
      </c>
      <c r="J531" s="232">
        <f>IFERROR(__xludf.DUMMYFUNCTION("IMPORTRANGE(""https://docs.google.com/spreadsheets/d/1SX6NBoVAgQJ6U1MVXOaj8PK2l7WJ3RER9xtqwdhxkhw/edit?usp=sharing"",""นครนายก!J426"")"),0.0)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IFERROR(__xludf.DUMMYFUNCTION("IMPORTRANGE(""https://docs.google.com/spreadsheets/d/1SX6NBoVAgQJ6U1MVXOaj8PK2l7WJ3RER9xtqwdhxkhw/edit?usp=sharing"",""นครนายก!I427"")"),0.0)</f>
        <v>0</v>
      </c>
      <c r="J532" s="499">
        <f>IFERROR(__xludf.DUMMYFUNCTION("IMPORTRANGE(""https://docs.google.com/spreadsheets/d/1SX6NBoVAgQJ6U1MVXOaj8PK2l7WJ3RER9xtqwdhxkhw/edit?usp=sharing"",""นครนายก!J427"")"),0.0)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IFERROR(__xludf.DUMMYFUNCTION("IMPORTRANGE(""https://docs.google.com/spreadsheets/d/1SX6NBoVAgQJ6U1MVXOaj8PK2l7WJ3RER9xtqwdhxkhw/edit?usp=sharing"",""นครนายก!I428"")"),22.0)</f>
        <v>22</v>
      </c>
      <c r="J533" s="443">
        <f>IFERROR(__xludf.DUMMYFUNCTION("IMPORTRANGE(""https://docs.google.com/spreadsheets/d/1SX6NBoVAgQJ6U1MVXOaj8PK2l7WJ3RER9xtqwdhxkhw/edit?usp=sharing"",""นครนายก!J428"")"),0.0)</f>
        <v>0</v>
      </c>
      <c r="K533" s="444">
        <f>IF(I533&gt;0,J533*100/I533,0)</f>
        <v>0</v>
      </c>
      <c r="L533" s="445">
        <f>IFERROR(__xludf.DUMMYFUNCTION("IMPORTRANGE(""https://docs.google.com/spreadsheets/d/1SX6NBoVAgQJ6U1MVXOaj8PK2l7WJ3RER9xtqwdhxkhw/edit?usp=sharing"",""นครนายก!L428"")"),34340.0)</f>
        <v>34340</v>
      </c>
      <c r="M533" s="445"/>
      <c r="N533" s="445">
        <f>IFERROR(__xludf.DUMMYFUNCTION("IMPORTRANGE(""https://docs.google.com/spreadsheets/d/1SX6NBoVAgQJ6U1MVXOaj8PK2l7WJ3RER9xtqwdhxkhw/edit?usp=sharing"",""นครนายก!M428"")"),0.0)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IFERROR(__xludf.DUMMYFUNCTION("IMPORTRANGE(""https://docs.google.com/spreadsheets/d/1SX6NBoVAgQJ6U1MVXOaj8PK2l7WJ3RER9xtqwdhxkhw/edit?usp=sharing"",""นครนายก!L429"")"),0.0)</f>
        <v>0</v>
      </c>
      <c r="M534" s="197"/>
      <c r="N534" s="203">
        <f>IFERROR(__xludf.DUMMYFUNCTION("IMPORTRANGE(""https://docs.google.com/spreadsheets/d/1SX6NBoVAgQJ6U1MVXOaj8PK2l7WJ3RER9xtqwdhxkhw/edit?usp=sharing"",""นครนายก!M429"")"),0.0)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IFERROR(__xludf.DUMMYFUNCTION("IMPORTRANGE(""https://docs.google.com/spreadsheets/d/1SX6NBoVAgQJ6U1MVXOaj8PK2l7WJ3RER9xtqwdhxkhw/edit?usp=sharing"",""นครนายก!L430"")"),34340.0)</f>
        <v>34340</v>
      </c>
      <c r="M535" s="198"/>
      <c r="N535" s="203">
        <f>IFERROR(__xludf.DUMMYFUNCTION("IMPORTRANGE(""https://docs.google.com/spreadsheets/d/1SX6NBoVAgQJ6U1MVXOaj8PK2l7WJ3RER9xtqwdhxkhw/edit?usp=sharing"",""นครนายก!M430"")"),0.0)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IFERROR(__xludf.DUMMYFUNCTION("IMPORTRANGE(""https://docs.google.com/spreadsheets/d/1SX6NBoVAgQJ6U1MVXOaj8PK2l7WJ3RER9xtqwdhxkhw/edit?usp=sharing"",""นครนายก!L431"")"),0.0)</f>
        <v>0</v>
      </c>
      <c r="M536" s="203"/>
      <c r="N536" s="203">
        <f>IFERROR(__xludf.DUMMYFUNCTION("IMPORTRANGE(""https://docs.google.com/spreadsheets/d/1SX6NBoVAgQJ6U1MVXOaj8PK2l7WJ3RER9xtqwdhxkhw/edit?usp=sharing"",""นครนายก!M431"")"),0.0)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IFERROR(__xludf.DUMMYFUNCTION("IMPORTRANGE(""https://docs.google.com/spreadsheets/d/1SX6NBoVAgQJ6U1MVXOaj8PK2l7WJ3RER9xtqwdhxkhw/edit?usp=sharing"",""นครนายก!L432"")"),34340.0)</f>
        <v>34340</v>
      </c>
      <c r="M537" s="203"/>
      <c r="N537" s="203">
        <f>IFERROR(__xludf.DUMMYFUNCTION("IMPORTRANGE(""https://docs.google.com/spreadsheets/d/1SX6NBoVAgQJ6U1MVXOaj8PK2l7WJ3RER9xtqwdhxkhw/edit?usp=sharing"",""นครนายก!M432"")"),0.0)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IFERROR(__xludf.DUMMYFUNCTION("IMPORTRANGE(""https://docs.google.com/spreadsheets/d/1SX6NBoVAgQJ6U1MVXOaj8PK2l7WJ3RER9xtqwdhxkhw/edit?usp=sharing"",""นครนายก!M433"")"),0.0)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IFERROR(__xludf.DUMMYFUNCTION("IMPORTRANGE(""https://docs.google.com/spreadsheets/d/1SX6NBoVAgQJ6U1MVXOaj8PK2l7WJ3RER9xtqwdhxkhw/edit?usp=sharing"",""นครนายก!M434"")"),0.0)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IFERROR(__xludf.DUMMYFUNCTION("IMPORTRANGE(""https://docs.google.com/spreadsheets/d/1SX6NBoVAgQJ6U1MVXOaj8PK2l7WJ3RER9xtqwdhxkhw/edit?usp=sharing"",""นครนายก!M435"")"),0.0)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IFERROR(__xludf.DUMMYFUNCTION("IMPORTRANGE(""https://docs.google.com/spreadsheets/d/1SX6NBoVAgQJ6U1MVXOaj8PK2l7WJ3RER9xtqwdhxkhw/edit?usp=sharing"",""นครนายก!M436"")"),0.0)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IFERROR(__xludf.DUMMYFUNCTION("IMPORTRANGE(""https://docs.google.com/spreadsheets/d/1SX6NBoVAgQJ6U1MVXOaj8PK2l7WJ3RER9xtqwdhxkhw/edit?usp=sharing"",""นครนายก!J438"")"),0.0)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IFERROR(__xludf.DUMMYFUNCTION("IMPORTRANGE(""https://docs.google.com/spreadsheets/d/1SX6NBoVAgQJ6U1MVXOaj8PK2l7WJ3RER9xtqwdhxkhw/edit?usp=sharing"",""นครนายก!J439"")"),1.0)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IFERROR(__xludf.DUMMYFUNCTION("IMPORTRANGE(""https://docs.google.com/spreadsheets/d/1SX6NBoVAgQJ6U1MVXOaj8PK2l7WJ3RER9xtqwdhxkhw/edit?usp=sharing"",""นครนายก!J440"")"),0.0)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IFERROR(__xludf.DUMMYFUNCTION("IMPORTRANGE(""https://docs.google.com/spreadsheets/d/1SX6NBoVAgQJ6U1MVXOaj8PK2l7WJ3RER9xtqwdhxkhw/edit?usp=sharing"",""นครนายก!J441"")"),0.0)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IFERROR(__xludf.DUMMYFUNCTION("IMPORTRANGE(""https://docs.google.com/spreadsheets/d/1SX6NBoVAgQJ6U1MVXOaj8PK2l7WJ3RER9xtqwdhxkhw/edit?usp=sharing"",""นครนายก!I442"")"),22.0)</f>
        <v>22</v>
      </c>
      <c r="J547" s="223">
        <f>IFERROR(__xludf.DUMMYFUNCTION("IMPORTRANGE(""https://docs.google.com/spreadsheets/d/1SX6NBoVAgQJ6U1MVXOaj8PK2l7WJ3RER9xtqwdhxkhw/edit?usp=sharing"",""นครนายก!J442"")"),0.0)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IFERROR(__xludf.DUMMYFUNCTION("IMPORTRANGE(""https://docs.google.com/spreadsheets/d/1SX6NBoVAgQJ6U1MVXOaj8PK2l7WJ3RER9xtqwdhxkhw/edit?usp=sharing"",""นครนายก!J166"")"),0.0)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IFERROR(__xludf.DUMMYFUNCTION("IMPORTRANGE(""https://docs.google.com/spreadsheets/d/1SX6NBoVAgQJ6U1MVXOaj8PK2l7WJ3RER9xtqwdhxkhw/edit?usp=sharing"",""นครนายก!J444"")"),0.0)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IFERROR(__xludf.DUMMYFUNCTION("IMPORTRANGE(""https://docs.google.com/spreadsheets/d/1SX6NBoVAgQJ6U1MVXOaj8PK2l7WJ3RER9xtqwdhxkhw/edit?usp=sharing"",""นครนายก!J445"")"),0.0)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IFERROR(__xludf.DUMMYFUNCTION("IMPORTRANGE(""https://docs.google.com/spreadsheets/d/1SX6NBoVAgQJ6U1MVXOaj8PK2l7WJ3RER9xtqwdhxkhw/edit?usp=sharing"",""นครนายก!I446"")"),0.0)</f>
        <v>0</v>
      </c>
      <c r="J551" s="443">
        <f>IFERROR(__xludf.DUMMYFUNCTION("IMPORTRANGE(""https://docs.google.com/spreadsheets/d/1SX6NBoVAgQJ6U1MVXOaj8PK2l7WJ3RER9xtqwdhxkhw/edit?usp=sharing"",""นครนายก!J446"")"),0.0)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IFERROR(__xludf.DUMMYFUNCTION("IMPORTRANGE(""https://docs.google.com/spreadsheets/d/1SX6NBoVAgQJ6U1MVXOaj8PK2l7WJ3RER9xtqwdhxkhw/edit?usp=sharing"",""นครนายก!L446"")"),0.0)</f>
        <v>0</v>
      </c>
      <c r="M551" s="445"/>
      <c r="N551" s="445">
        <f>IFERROR(__xludf.DUMMYFUNCTION("IMPORTRANGE(""https://docs.google.com/spreadsheets/d/1SX6NBoVAgQJ6U1MVXOaj8PK2l7WJ3RER9xtqwdhxkhw/edit?usp=sharing"",""นครนายก!M446"")"),0.0)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IFERROR(__xludf.DUMMYFUNCTION("IMPORTRANGE(""https://docs.google.com/spreadsheets/d/1SX6NBoVAgQJ6U1MVXOaj8PK2l7WJ3RER9xtqwdhxkhw/edit?usp=sharing"",""นครนายก!L447"")"),0.0)</f>
        <v>0</v>
      </c>
      <c r="M552" s="197"/>
      <c r="N552" s="203">
        <f>IFERROR(__xludf.DUMMYFUNCTION("IMPORTRANGE(""https://docs.google.com/spreadsheets/d/1SX6NBoVAgQJ6U1MVXOaj8PK2l7WJ3RER9xtqwdhxkhw/edit?usp=sharing"",""นครนายก!M447"")"),0.0)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IFERROR(__xludf.DUMMYFUNCTION("IMPORTRANGE(""https://docs.google.com/spreadsheets/d/1SX6NBoVAgQJ6U1MVXOaj8PK2l7WJ3RER9xtqwdhxkhw/edit?usp=sharing"",""นครนายก!L448"")"),0.0)</f>
        <v>0</v>
      </c>
      <c r="M553" s="198"/>
      <c r="N553" s="203">
        <f>IFERROR(__xludf.DUMMYFUNCTION("IMPORTRANGE(""https://docs.google.com/spreadsheets/d/1SX6NBoVAgQJ6U1MVXOaj8PK2l7WJ3RER9xtqwdhxkhw/edit?usp=sharing"",""นครนายก!M448"")"),0.0)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IFERROR(__xludf.DUMMYFUNCTION("IMPORTRANGE(""https://docs.google.com/spreadsheets/d/1SX6NBoVAgQJ6U1MVXOaj8PK2l7WJ3RER9xtqwdhxkhw/edit?usp=sharing"",""นครนายก!L449"")"),0.0)</f>
        <v>0</v>
      </c>
      <c r="M554" s="203"/>
      <c r="N554" s="203">
        <f>IFERROR(__xludf.DUMMYFUNCTION("IMPORTRANGE(""https://docs.google.com/spreadsheets/d/1SX6NBoVAgQJ6U1MVXOaj8PK2l7WJ3RER9xtqwdhxkhw/edit?usp=sharing"",""นครนายก!M449"")"),0.0)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IFERROR(__xludf.DUMMYFUNCTION("IMPORTRANGE(""https://docs.google.com/spreadsheets/d/1SX6NBoVAgQJ6U1MVXOaj8PK2l7WJ3RER9xtqwdhxkhw/edit?usp=sharing"",""นครนายก!L450"")"),0.0)</f>
        <v>0</v>
      </c>
      <c r="M555" s="203"/>
      <c r="N555" s="203">
        <f>IFERROR(__xludf.DUMMYFUNCTION("IMPORTRANGE(""https://docs.google.com/spreadsheets/d/1SX6NBoVAgQJ6U1MVXOaj8PK2l7WJ3RER9xtqwdhxkhw/edit?usp=sharing"",""นครนายก!M450"")"),0.0)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IFERROR(__xludf.DUMMYFUNCTION("IMPORTRANGE(""https://docs.google.com/spreadsheets/d/1SX6NBoVAgQJ6U1MVXOaj8PK2l7WJ3RER9xtqwdhxkhw/edit?usp=sharing"",""นครนายก!M451"")"),0.0)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IFERROR(__xludf.DUMMYFUNCTION("IMPORTRANGE(""https://docs.google.com/spreadsheets/d/1SX6NBoVAgQJ6U1MVXOaj8PK2l7WJ3RER9xtqwdhxkhw/edit?usp=sharing"",""นครนายก!M452"")"),0.0)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IFERROR(__xludf.DUMMYFUNCTION("IMPORTRANGE(""https://docs.google.com/spreadsheets/d/1SX6NBoVAgQJ6U1MVXOaj8PK2l7WJ3RER9xtqwdhxkhw/edit?usp=sharing"",""นครนายก!M453"")"),0.0)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IFERROR(__xludf.DUMMYFUNCTION("IMPORTRANGE(""https://docs.google.com/spreadsheets/d/1SX6NBoVAgQJ6U1MVXOaj8PK2l7WJ3RER9xtqwdhxkhw/edit?usp=sharing"",""นครนายก!M454"")"),0.0)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IFERROR(__xludf.DUMMYFUNCTION("IMPORTRANGE(""https://docs.google.com/spreadsheets/d/1SX6NBoVAgQJ6U1MVXOaj8PK2l7WJ3RER9xtqwdhxkhw/edit?usp=sharing"",""นครนายก!I455"")"),0.0)</f>
        <v>0</v>
      </c>
      <c r="J560" s="195">
        <f>IFERROR(__xludf.DUMMYFUNCTION("IMPORTRANGE(""https://docs.google.com/spreadsheets/d/1SX6NBoVAgQJ6U1MVXOaj8PK2l7WJ3RER9xtqwdhxkhw/edit?usp=sharing"",""นครนายก!J455"")"),0.0)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IFERROR(__xludf.DUMMYFUNCTION("IMPORTRANGE(""https://docs.google.com/spreadsheets/d/1SX6NBoVAgQJ6U1MVXOaj8PK2l7WJ3RER9xtqwdhxkhw/edit?usp=sharing"",""นครนายก!I456"")"),0.0)</f>
        <v>0</v>
      </c>
      <c r="J561" s="238">
        <f>IFERROR(__xludf.DUMMYFUNCTION("IMPORTRANGE(""https://docs.google.com/spreadsheets/d/1SX6NBoVAgQJ6U1MVXOaj8PK2l7WJ3RER9xtqwdhxkhw/edit?usp=sharing"",""นครนายก!J456"")"),0.0)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IFERROR(__xludf.DUMMYFUNCTION("IMPORTRANGE(""https://docs.google.com/spreadsheets/d/1SX6NBoVAgQJ6U1MVXOaj8PK2l7WJ3RER9xtqwdhxkhw/edit?usp=sharing"",""นครนายก!I457"")"),"")</f>
        <v/>
      </c>
      <c r="J562" s="238" t="str">
        <f>IFERROR(__xludf.DUMMYFUNCTION("IMPORTRANGE(""https://docs.google.com/spreadsheets/d/1SX6NBoVAgQJ6U1MVXOaj8PK2l7WJ3RER9xtqwdhxkhw/edit?usp=sharing"",""นครนายก!J457"")"),"")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IFERROR(__xludf.DUMMYFUNCTION("IMPORTRANGE(""https://docs.google.com/spreadsheets/d/1SX6NBoVAgQJ6U1MVXOaj8PK2l7WJ3RER9xtqwdhxkhw/edit?usp=sharing"",""นครนายก!I458"")"),"")</f>
        <v/>
      </c>
      <c r="J563" s="222" t="str">
        <f>IFERROR(__xludf.DUMMYFUNCTION("IMPORTRANGE(""https://docs.google.com/spreadsheets/d/1SX6NBoVAgQJ6U1MVXOaj8PK2l7WJ3RER9xtqwdhxkhw/edit?usp=sharing"",""นครนายก!J458"")"),"")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IFERROR(__xludf.DUMMYFUNCTION("IMPORTRANGE(""https://docs.google.com/spreadsheets/d/1SX6NBoVAgQJ6U1MVXOaj8PK2l7WJ3RER9xtqwdhxkhw/edit?usp=sharing"",""นครนายก!I459"")"),150.0)</f>
        <v>150</v>
      </c>
      <c r="J564" s="404">
        <f>IFERROR(__xludf.DUMMYFUNCTION("IMPORTRANGE(""https://docs.google.com/spreadsheets/d/1SX6NBoVAgQJ6U1MVXOaj8PK2l7WJ3RER9xtqwdhxkhw/edit?usp=sharing"",""นครนายก!J459"")"),174.0)</f>
        <v>174</v>
      </c>
      <c r="K564" s="405">
        <f t="shared" si="122"/>
        <v>116</v>
      </c>
      <c r="L564" s="406">
        <f>IFERROR(__xludf.DUMMYFUNCTION("IMPORTRANGE(""https://docs.google.com/spreadsheets/d/1SX6NBoVAgQJ6U1MVXOaj8PK2l7WJ3RER9xtqwdhxkhw/edit?usp=sharing"",""นครนายก!L459"")"),119520.0)</f>
        <v>119520</v>
      </c>
      <c r="M564" s="406"/>
      <c r="N564" s="406">
        <f>IFERROR(__xludf.DUMMYFUNCTION("IMPORTRANGE(""https://docs.google.com/spreadsheets/d/1SX6NBoVAgQJ6U1MVXOaj8PK2l7WJ3RER9xtqwdhxkhw/edit?usp=sharing"",""นครนายก!M459"")"),23760.0)</f>
        <v>23760</v>
      </c>
      <c r="O564" s="406">
        <f t="shared" ref="O564:O568" si="123">+IF(L564&gt;0,N564*100/L564,0)</f>
        <v>19.87951807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IFERROR(__xludf.DUMMYFUNCTION("IMPORTRANGE(""https://docs.google.com/spreadsheets/d/1SX6NBoVAgQJ6U1MVXOaj8PK2l7WJ3RER9xtqwdhxkhw/edit?usp=sharing"",""นครนายก!L460"")"),0.0)</f>
        <v>0</v>
      </c>
      <c r="M565" s="197"/>
      <c r="N565" s="203">
        <f>IFERROR(__xludf.DUMMYFUNCTION("IMPORTRANGE(""https://docs.google.com/spreadsheets/d/1SX6NBoVAgQJ6U1MVXOaj8PK2l7WJ3RER9xtqwdhxkhw/edit?usp=sharing"",""นครนายก!M460"")"),0.0)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IFERROR(__xludf.DUMMYFUNCTION("IMPORTRANGE(""https://docs.google.com/spreadsheets/d/1SX6NBoVAgQJ6U1MVXOaj8PK2l7WJ3RER9xtqwdhxkhw/edit?usp=sharing"",""นครนายก!L461"")"),119520.0)</f>
        <v>119520</v>
      </c>
      <c r="M566" s="198"/>
      <c r="N566" s="203">
        <f>IFERROR(__xludf.DUMMYFUNCTION("IMPORTRANGE(""https://docs.google.com/spreadsheets/d/1SX6NBoVAgQJ6U1MVXOaj8PK2l7WJ3RER9xtqwdhxkhw/edit?usp=sharing"",""นครนายก!M461"")"),23760.0)</f>
        <v>23760</v>
      </c>
      <c r="O566" s="203">
        <f t="shared" si="123"/>
        <v>19.87951807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IFERROR(__xludf.DUMMYFUNCTION("IMPORTRANGE(""https://docs.google.com/spreadsheets/d/1SX6NBoVAgQJ6U1MVXOaj8PK2l7WJ3RER9xtqwdhxkhw/edit?usp=sharing"",""นครนายก!L462"")"),0.0)</f>
        <v>0</v>
      </c>
      <c r="M567" s="203"/>
      <c r="N567" s="203">
        <f>IFERROR(__xludf.DUMMYFUNCTION("IMPORTRANGE(""https://docs.google.com/spreadsheets/d/1SX6NBoVAgQJ6U1MVXOaj8PK2l7WJ3RER9xtqwdhxkhw/edit?usp=sharing"",""นครนายก!M462"")"),0.0)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IFERROR(__xludf.DUMMYFUNCTION("IMPORTRANGE(""https://docs.google.com/spreadsheets/d/1SX6NBoVAgQJ6U1MVXOaj8PK2l7WJ3RER9xtqwdhxkhw/edit?usp=sharing"",""นครนายก!L463"")"),119520.0)</f>
        <v>119520</v>
      </c>
      <c r="M568" s="203"/>
      <c r="N568" s="203">
        <f>IFERROR(__xludf.DUMMYFUNCTION("IMPORTRANGE(""https://docs.google.com/spreadsheets/d/1SX6NBoVAgQJ6U1MVXOaj8PK2l7WJ3RER9xtqwdhxkhw/edit?usp=sharing"",""นครนายก!M463"")"),23760.0)</f>
        <v>23760</v>
      </c>
      <c r="O568" s="203">
        <f t="shared" si="123"/>
        <v>19.87951807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IFERROR(__xludf.DUMMYFUNCTION("IMPORTRANGE(""https://docs.google.com/spreadsheets/d/1SX6NBoVAgQJ6U1MVXOaj8PK2l7WJ3RER9xtqwdhxkhw/edit?usp=sharing"",""นครนายก!M464"")"),0.0)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IFERROR(__xludf.DUMMYFUNCTION("IMPORTRANGE(""https://docs.google.com/spreadsheets/d/1SX6NBoVAgQJ6U1MVXOaj8PK2l7WJ3RER9xtqwdhxkhw/edit?usp=sharing"",""นครนายก!M465"")"),0.0)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IFERROR(__xludf.DUMMYFUNCTION("IMPORTRANGE(""https://docs.google.com/spreadsheets/d/1SX6NBoVAgQJ6U1MVXOaj8PK2l7WJ3RER9xtqwdhxkhw/edit?usp=sharing"",""นครนายก!M466"")"),22000.0)</f>
        <v>22000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IFERROR(__xludf.DUMMYFUNCTION("IMPORTRANGE(""https://docs.google.com/spreadsheets/d/1SX6NBoVAgQJ6U1MVXOaj8PK2l7WJ3RER9xtqwdhxkhw/edit?usp=sharing"",""นครนายก!M467"")"),1760.0)</f>
        <v>1760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IFERROR(__xludf.DUMMYFUNCTION("IMPORTRANGE(""https://docs.google.com/spreadsheets/d/1SX6NBoVAgQJ6U1MVXOaj8PK2l7WJ3RER9xtqwdhxkhw/edit?usp=sharing"",""นครนายก!I468"")"),150.0)</f>
        <v>150</v>
      </c>
      <c r="J573" s="453">
        <f>IFERROR(__xludf.DUMMYFUNCTION("IMPORTRANGE(""https://docs.google.com/spreadsheets/d/1SX6NBoVAgQJ6U1MVXOaj8PK2l7WJ3RER9xtqwdhxkhw/edit?usp=sharing"",""นครนายก!J468"")"),174.0)</f>
        <v>174</v>
      </c>
      <c r="K573" s="236">
        <f>IF(I573&gt;0,J573*100/I573,0)</f>
        <v>116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IFERROR(__xludf.DUMMYFUNCTION("IMPORTRANGE(""https://docs.google.com/spreadsheets/d/1SX6NBoVAgQJ6U1MVXOaj8PK2l7WJ3RER9xtqwdhxkhw/edit?usp=sharing"",""นครนายก!I470"")"),0.0)</f>
        <v>0</v>
      </c>
      <c r="J575" s="232">
        <f>IFERROR(__xludf.DUMMYFUNCTION("IMPORTRANGE(""https://docs.google.com/spreadsheets/d/1SX6NBoVAgQJ6U1MVXOaj8PK2l7WJ3RER9xtqwdhxkhw/edit?usp=sharing"",""นครนายก!J470"")"),1.0)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IFERROR(__xludf.DUMMYFUNCTION("IMPORTRANGE(""https://docs.google.com/spreadsheets/d/1SX6NBoVAgQJ6U1MVXOaj8PK2l7WJ3RER9xtqwdhxkhw/edit?usp=sharing"",""นครนายก!I471"")"),0.0)</f>
        <v>0</v>
      </c>
      <c r="J576" s="232">
        <f>IFERROR(__xludf.DUMMYFUNCTION("IMPORTRANGE(""https://docs.google.com/spreadsheets/d/1SX6NBoVAgQJ6U1MVXOaj8PK2l7WJ3RER9xtqwdhxkhw/edit?usp=sharing"",""นครนายก!J471"")"),32.0)</f>
        <v>32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IFERROR(__xludf.DUMMYFUNCTION("IMPORTRANGE(""https://docs.google.com/spreadsheets/d/1SX6NBoVAgQJ6U1MVXOaj8PK2l7WJ3RER9xtqwdhxkhw/edit?usp=sharing"",""นครนายก!I472"")"),0.0)</f>
        <v>0</v>
      </c>
      <c r="J577" s="223">
        <f>IFERROR(__xludf.DUMMYFUNCTION("IMPORTRANGE(""https://docs.google.com/spreadsheets/d/1SX6NBoVAgQJ6U1MVXOaj8PK2l7WJ3RER9xtqwdhxkhw/edit?usp=sharing"",""นครนายก!J472"")"),142.0)</f>
        <v>142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IFERROR(__xludf.DUMMYFUNCTION("IMPORTRANGE(""https://docs.google.com/spreadsheets/d/1SX6NBoVAgQJ6U1MVXOaj8PK2l7WJ3RER9xtqwdhxkhw/edit?usp=sharing"",""นครนายก!I473"")"),0.0)</f>
        <v>0</v>
      </c>
      <c r="J578" s="232">
        <f>IFERROR(__xludf.DUMMYFUNCTION("IMPORTRANGE(""https://docs.google.com/spreadsheets/d/1SX6NBoVAgQJ6U1MVXOaj8PK2l7WJ3RER9xtqwdhxkhw/edit?usp=sharing"",""นครนายก!J473"")"),0.0)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IFERROR(__xludf.DUMMYFUNCTION("IMPORTRANGE(""https://docs.google.com/spreadsheets/d/1SX6NBoVAgQJ6U1MVXOaj8PK2l7WJ3RER9xtqwdhxkhw/edit?usp=sharing"",""นครนายก!I474"")"),0.0)</f>
        <v>0</v>
      </c>
      <c r="J579" s="232">
        <f>IFERROR(__xludf.DUMMYFUNCTION("IMPORTRANGE(""https://docs.google.com/spreadsheets/d/1SX6NBoVAgQJ6U1MVXOaj8PK2l7WJ3RER9xtqwdhxkhw/edit?usp=sharing"",""นครนายก!J474"")"),0.0)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IFERROR(__xludf.DUMMYFUNCTION("IMPORTRANGE(""https://docs.google.com/spreadsheets/d/1SX6NBoVAgQJ6U1MVXOaj8PK2l7WJ3RER9xtqwdhxkhw/edit?usp=sharing"",""นครนายก!I475"")"),0.0)</f>
        <v>0</v>
      </c>
      <c r="J580" s="404">
        <f>IFERROR(__xludf.DUMMYFUNCTION("IMPORTRANGE(""https://docs.google.com/spreadsheets/d/1SX6NBoVAgQJ6U1MVXOaj8PK2l7WJ3RER9xtqwdhxkhw/edit?usp=sharing"",""นครนายก!J475"")"),0.0)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IFERROR(__xludf.DUMMYFUNCTION("IMPORTRANGE(""https://docs.google.com/spreadsheets/d/1SX6NBoVAgQJ6U1MVXOaj8PK2l7WJ3RER9xtqwdhxkhw/edit?usp=sharing"",""นครนายก!L475"")"),0.0)</f>
        <v>0</v>
      </c>
      <c r="M580" s="406"/>
      <c r="N580" s="406">
        <f>IFERROR(__xludf.DUMMYFUNCTION("IMPORTRANGE(""https://docs.google.com/spreadsheets/d/1SX6NBoVAgQJ6U1MVXOaj8PK2l7WJ3RER9xtqwdhxkhw/edit?usp=sharing"",""นครนายก!M475"")"),0.0)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IFERROR(__xludf.DUMMYFUNCTION("IMPORTRANGE(""https://docs.google.com/spreadsheets/d/1SX6NBoVAgQJ6U1MVXOaj8PK2l7WJ3RER9xtqwdhxkhw/edit?usp=sharing"",""นครนายก!L476"")"),0.0)</f>
        <v>0</v>
      </c>
      <c r="M581" s="197"/>
      <c r="N581" s="203">
        <f>IFERROR(__xludf.DUMMYFUNCTION("IMPORTRANGE(""https://docs.google.com/spreadsheets/d/1SX6NBoVAgQJ6U1MVXOaj8PK2l7WJ3RER9xtqwdhxkhw/edit?usp=sharing"",""นครนายก!M476"")"),0.0)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IFERROR(__xludf.DUMMYFUNCTION("IMPORTRANGE(""https://docs.google.com/spreadsheets/d/1SX6NBoVAgQJ6U1MVXOaj8PK2l7WJ3RER9xtqwdhxkhw/edit?usp=sharing"",""นครนายก!L477"")"),0.0)</f>
        <v>0</v>
      </c>
      <c r="M582" s="198"/>
      <c r="N582" s="203">
        <f>IFERROR(__xludf.DUMMYFUNCTION("IMPORTRANGE(""https://docs.google.com/spreadsheets/d/1SX6NBoVAgQJ6U1MVXOaj8PK2l7WJ3RER9xtqwdhxkhw/edit?usp=sharing"",""นครนายก!M477"")"),0.0)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IFERROR(__xludf.DUMMYFUNCTION("IMPORTRANGE(""https://docs.google.com/spreadsheets/d/1SX6NBoVAgQJ6U1MVXOaj8PK2l7WJ3RER9xtqwdhxkhw/edit?usp=sharing"",""นครนายก!L478"")"),0.0)</f>
        <v>0</v>
      </c>
      <c r="M583" s="203"/>
      <c r="N583" s="203">
        <f>IFERROR(__xludf.DUMMYFUNCTION("IMPORTRANGE(""https://docs.google.com/spreadsheets/d/1SX6NBoVAgQJ6U1MVXOaj8PK2l7WJ3RER9xtqwdhxkhw/edit?usp=sharing"",""นครนายก!M478"")"),0.0)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IFERROR(__xludf.DUMMYFUNCTION("IMPORTRANGE(""https://docs.google.com/spreadsheets/d/1SX6NBoVAgQJ6U1MVXOaj8PK2l7WJ3RER9xtqwdhxkhw/edit?usp=sharing"",""นครนายก!L479"")"),0.0)</f>
        <v>0</v>
      </c>
      <c r="M584" s="203"/>
      <c r="N584" s="203">
        <f>IFERROR(__xludf.DUMMYFUNCTION("IMPORTRANGE(""https://docs.google.com/spreadsheets/d/1SX6NBoVAgQJ6U1MVXOaj8PK2l7WJ3RER9xtqwdhxkhw/edit?usp=sharing"",""นครนายก!M479"")"),0.0)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IFERROR(__xludf.DUMMYFUNCTION("IMPORTRANGE(""https://docs.google.com/spreadsheets/d/1SX6NBoVAgQJ6U1MVXOaj8PK2l7WJ3RER9xtqwdhxkhw/edit?usp=sharing"",""นครนายก!M480"")"),0.0)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IFERROR(__xludf.DUMMYFUNCTION("IMPORTRANGE(""https://docs.google.com/spreadsheets/d/1SX6NBoVAgQJ6U1MVXOaj8PK2l7WJ3RER9xtqwdhxkhw/edit?usp=sharing"",""นครนายก!M481"")"),0.0)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IFERROR(__xludf.DUMMYFUNCTION("IMPORTRANGE(""https://docs.google.com/spreadsheets/d/1SX6NBoVAgQJ6U1MVXOaj8PK2l7WJ3RER9xtqwdhxkhw/edit?usp=sharing"",""นครนายก!M482"")"),0.0)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IFERROR(__xludf.DUMMYFUNCTION("IMPORTRANGE(""https://docs.google.com/spreadsheets/d/1SX6NBoVAgQJ6U1MVXOaj8PK2l7WJ3RER9xtqwdhxkhw/edit?usp=sharing"",""นครนายก!M483"")"),0.0)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IFERROR(__xludf.DUMMYFUNCTION("IMPORTRANGE(""https://docs.google.com/spreadsheets/d/1SX6NBoVAgQJ6U1MVXOaj8PK2l7WJ3RER9xtqwdhxkhw/edit?usp=sharing"",""นครนายก!I484"")"),0.0)</f>
        <v>0</v>
      </c>
      <c r="J589" s="222">
        <f>IFERROR(__xludf.DUMMYFUNCTION("IMPORTRANGE(""https://docs.google.com/spreadsheets/d/1SX6NBoVAgQJ6U1MVXOaj8PK2l7WJ3RER9xtqwdhxkhw/edit?usp=sharing"",""นครนายก!J484"")"),0.0)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IFERROR(__xludf.DUMMYFUNCTION("IMPORTRANGE(""https://docs.google.com/spreadsheets/d/1SX6NBoVAgQJ6U1MVXOaj8PK2l7WJ3RER9xtqwdhxkhw/edit?usp=sharing"",""นครนายก!I485"")"),0.0)</f>
        <v>0</v>
      </c>
      <c r="J590" s="222">
        <f>IFERROR(__xludf.DUMMYFUNCTION("IMPORTRANGE(""https://docs.google.com/spreadsheets/d/1SX6NBoVAgQJ6U1MVXOaj8PK2l7WJ3RER9xtqwdhxkhw/edit?usp=sharing"",""นครนายก!J485"")"),0.0)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IFERROR(__xludf.DUMMYFUNCTION("IMPORTRANGE(""https://docs.google.com/spreadsheets/d/1SX6NBoVAgQJ6U1MVXOaj8PK2l7WJ3RER9xtqwdhxkhw/edit?usp=sharing"",""นครนายก!I486"")"),0.0)</f>
        <v>0</v>
      </c>
      <c r="J591" s="222">
        <f>IFERROR(__xludf.DUMMYFUNCTION("IMPORTRANGE(""https://docs.google.com/spreadsheets/d/1SX6NBoVAgQJ6U1MVXOaj8PK2l7WJ3RER9xtqwdhxkhw/edit?usp=sharing"",""นครนายก!J486"")"),0.0)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IFERROR(__xludf.DUMMYFUNCTION("IMPORTRANGE(""https://docs.google.com/spreadsheets/d/1SX6NBoVAgQJ6U1MVXOaj8PK2l7WJ3RER9xtqwdhxkhw/edit?usp=sharing"",""นครนายก!I487"")"),0.0)</f>
        <v>0</v>
      </c>
      <c r="J592" s="222">
        <f>IFERROR(__xludf.DUMMYFUNCTION("IMPORTRANGE(""https://docs.google.com/spreadsheets/d/1SX6NBoVAgQJ6U1MVXOaj8PK2l7WJ3RER9xtqwdhxkhw/edit?usp=sharing"",""นครนายก!J487"")"),0.0)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IFERROR(__xludf.DUMMYFUNCTION("IMPORTRANGE(""https://docs.google.com/spreadsheets/d/1SX6NBoVAgQJ6U1MVXOaj8PK2l7WJ3RER9xtqwdhxkhw/edit?usp=sharing"",""นครนายก!I488"")"),0.0)</f>
        <v>0</v>
      </c>
      <c r="J593" s="222">
        <f>IFERROR(__xludf.DUMMYFUNCTION("IMPORTRANGE(""https://docs.google.com/spreadsheets/d/1SX6NBoVAgQJ6U1MVXOaj8PK2l7WJ3RER9xtqwdhxkhw/edit?usp=sharing"",""นครนายก!J488"")"),0.0)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IFERROR(__xludf.DUMMYFUNCTION("IMPORTRANGE(""https://docs.google.com/spreadsheets/d/1SX6NBoVAgQJ6U1MVXOaj8PK2l7WJ3RER9xtqwdhxkhw/edit?usp=sharing"",""นครนายก!I489"")"),0.0)</f>
        <v>0</v>
      </c>
      <c r="J594" s="222">
        <f>IFERROR(__xludf.DUMMYFUNCTION("IMPORTRANGE(""https://docs.google.com/spreadsheets/d/1SX6NBoVAgQJ6U1MVXOaj8PK2l7WJ3RER9xtqwdhxkhw/edit?usp=sharing"",""นครนายก!J489"")"),0.0)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IFERROR(__xludf.DUMMYFUNCTION("IMPORTRANGE(""https://docs.google.com/spreadsheets/d/1SX6NBoVAgQJ6U1MVXOaj8PK2l7WJ3RER9xtqwdhxkhw/edit?usp=sharing"",""นครนายก!I490"")"),0.0)</f>
        <v>0</v>
      </c>
      <c r="J595" s="222">
        <f>IFERROR(__xludf.DUMMYFUNCTION("IMPORTRANGE(""https://docs.google.com/spreadsheets/d/1SX6NBoVAgQJ6U1MVXOaj8PK2l7WJ3RER9xtqwdhxkhw/edit?usp=sharing"",""นครนายก!J490"")"),0.0)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IFERROR(__xludf.DUMMYFUNCTION("IMPORTRANGE(""https://docs.google.com/spreadsheets/d/1SX6NBoVAgQJ6U1MVXOaj8PK2l7WJ3RER9xtqwdhxkhw/edit?usp=sharing"",""นครนายก!I491"")"),0.0)</f>
        <v>0</v>
      </c>
      <c r="J596" s="275">
        <f>IFERROR(__xludf.DUMMYFUNCTION("IMPORTRANGE(""https://docs.google.com/spreadsheets/d/1SX6NBoVAgQJ6U1MVXOaj8PK2l7WJ3RER9xtqwdhxkhw/edit?usp=sharing"",""นครนายก!J491"")"),0.0)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IFERROR(__xludf.DUMMYFUNCTION("IMPORTRANGE(""https://docs.google.com/spreadsheets/d/1SX6NBoVAgQJ6U1MVXOaj8PK2l7WJ3RER9xtqwdhxkhw/edit?usp=sharing"",""นครนายก!I492"")"),50.0)</f>
        <v>50</v>
      </c>
      <c r="J597" s="520">
        <f>IFERROR(__xludf.DUMMYFUNCTION("IMPORTRANGE(""https://docs.google.com/spreadsheets/d/1SX6NBoVAgQJ6U1MVXOaj8PK2l7WJ3RER9xtqwdhxkhw/edit?usp=sharing"",""นครนายก!J492"")"),0.0)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IFERROR(__xludf.DUMMYFUNCTION("IMPORTRANGE(""https://docs.google.com/spreadsheets/d/1SX6NBoVAgQJ6U1MVXOaj8PK2l7WJ3RER9xtqwdhxkhw/edit?usp=sharing"",""นครนายก!L492"")"),6950.0)</f>
        <v>6950</v>
      </c>
      <c r="M597" s="445"/>
      <c r="N597" s="445">
        <f>IFERROR(__xludf.DUMMYFUNCTION("IMPORTRANGE(""https://docs.google.com/spreadsheets/d/1SX6NBoVAgQJ6U1MVXOaj8PK2l7WJ3RER9xtqwdhxkhw/edit?usp=sharing"",""นครนายก!M492"")"),0.0)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IFERROR(__xludf.DUMMYFUNCTION("IMPORTRANGE(""https://docs.google.com/spreadsheets/d/1SX6NBoVAgQJ6U1MVXOaj8PK2l7WJ3RER9xtqwdhxkhw/edit?usp=sharing"",""นครนายก!L493"")"),0.0)</f>
        <v>0</v>
      </c>
      <c r="M598" s="197"/>
      <c r="N598" s="203">
        <f>IFERROR(__xludf.DUMMYFUNCTION("IMPORTRANGE(""https://docs.google.com/spreadsheets/d/1SX6NBoVAgQJ6U1MVXOaj8PK2l7WJ3RER9xtqwdhxkhw/edit?usp=sharing"",""นครนายก!M493"")"),0.0)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IFERROR(__xludf.DUMMYFUNCTION("IMPORTRANGE(""https://docs.google.com/spreadsheets/d/1SX6NBoVAgQJ6U1MVXOaj8PK2l7WJ3RER9xtqwdhxkhw/edit?usp=sharing"",""นครนายก!L494"")"),6950.0)</f>
        <v>6950</v>
      </c>
      <c r="M599" s="198"/>
      <c r="N599" s="203">
        <f>IFERROR(__xludf.DUMMYFUNCTION("IMPORTRANGE(""https://docs.google.com/spreadsheets/d/1SX6NBoVAgQJ6U1MVXOaj8PK2l7WJ3RER9xtqwdhxkhw/edit?usp=sharing"",""นครนายก!M494"")"),0.0)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IFERROR(__xludf.DUMMYFUNCTION("IMPORTRANGE(""https://docs.google.com/spreadsheets/d/1SX6NBoVAgQJ6U1MVXOaj8PK2l7WJ3RER9xtqwdhxkhw/edit?usp=sharing"",""นครนายก!L495"")"),0.0)</f>
        <v>0</v>
      </c>
      <c r="M600" s="203"/>
      <c r="N600" s="203">
        <f>IFERROR(__xludf.DUMMYFUNCTION("IMPORTRANGE(""https://docs.google.com/spreadsheets/d/1SX6NBoVAgQJ6U1MVXOaj8PK2l7WJ3RER9xtqwdhxkhw/edit?usp=sharing"",""นครนายก!M495"")"),0.0)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IFERROR(__xludf.DUMMYFUNCTION("IMPORTRANGE(""https://docs.google.com/spreadsheets/d/1SX6NBoVAgQJ6U1MVXOaj8PK2l7WJ3RER9xtqwdhxkhw/edit?usp=sharing"",""นครนายก!L496"")"),6950.0)</f>
        <v>6950</v>
      </c>
      <c r="M601" s="203"/>
      <c r="N601" s="203">
        <f>IFERROR(__xludf.DUMMYFUNCTION("IMPORTRANGE(""https://docs.google.com/spreadsheets/d/1SX6NBoVAgQJ6U1MVXOaj8PK2l7WJ3RER9xtqwdhxkhw/edit?usp=sharing"",""นครนายก!M496"")"),0.0)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IFERROR(__xludf.DUMMYFUNCTION("IMPORTRANGE(""https://docs.google.com/spreadsheets/d/1SX6NBoVAgQJ6U1MVXOaj8PK2l7WJ3RER9xtqwdhxkhw/edit?usp=sharing"",""นครนายก!M497"")"),0.0)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IFERROR(__xludf.DUMMYFUNCTION("IMPORTRANGE(""https://docs.google.com/spreadsheets/d/1SX6NBoVAgQJ6U1MVXOaj8PK2l7WJ3RER9xtqwdhxkhw/edit?usp=sharing"",""นครนายก!M498"")"),0.0)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IFERROR(__xludf.DUMMYFUNCTION("IMPORTRANGE(""https://docs.google.com/spreadsheets/d/1SX6NBoVAgQJ6U1MVXOaj8PK2l7WJ3RER9xtqwdhxkhw/edit?usp=sharing"",""นครนายก!M499"")"),0.0)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IFERROR(__xludf.DUMMYFUNCTION("IMPORTRANGE(""https://docs.google.com/spreadsheets/d/1SX6NBoVAgQJ6U1MVXOaj8PK2l7WJ3RER9xtqwdhxkhw/edit?usp=sharing"",""นครนายก!M500"")"),0.0)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IFERROR(__xludf.DUMMYFUNCTION("IMPORTRANGE(""https://docs.google.com/spreadsheets/d/1SX6NBoVAgQJ6U1MVXOaj8PK2l7WJ3RER9xtqwdhxkhw/edit?usp=sharing"",""นครนายก!J502"")"),0.0)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IFERROR(__xludf.DUMMYFUNCTION("IMPORTRANGE(""https://docs.google.com/spreadsheets/d/1SX6NBoVAgQJ6U1MVXOaj8PK2l7WJ3RER9xtqwdhxkhw/edit?usp=sharing"",""นครนายก!J503"")"),0.0)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IFERROR(__xludf.DUMMYFUNCTION("IMPORTRANGE(""https://docs.google.com/spreadsheets/d/1SX6NBoVAgQJ6U1MVXOaj8PK2l7WJ3RER9xtqwdhxkhw/edit?usp=sharing"",""นครนายก!J166"")"),0.0)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IFERROR(__xludf.DUMMYFUNCTION("IMPORTRANGE(""https://docs.google.com/spreadsheets/d/1SX6NBoVAgQJ6U1MVXOaj8PK2l7WJ3RER9xtqwdhxkhw/edit?usp=sharing"",""นครนายก!J166"")"),0.0)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IFERROR(__xludf.DUMMYFUNCTION("IMPORTRANGE(""https://docs.google.com/spreadsheets/d/1SX6NBoVAgQJ6U1MVXOaj8PK2l7WJ3RER9xtqwdhxkhw/edit?usp=sharing"",""นครนายก!I506"")"),50.0)</f>
        <v>50</v>
      </c>
      <c r="J611" s="195">
        <f>IFERROR(__xludf.DUMMYFUNCTION("IMPORTRANGE(""https://docs.google.com/spreadsheets/d/1SX6NBoVAgQJ6U1MVXOaj8PK2l7WJ3RER9xtqwdhxkhw/edit?usp=sharing"",""นครนายก!J506"")"),0.0)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IFERROR(__xludf.DUMMYFUNCTION("IMPORTRANGE(""https://docs.google.com/spreadsheets/d/1SX6NBoVAgQJ6U1MVXOaj8PK2l7WJ3RER9xtqwdhxkhw/edit?usp=sharing"",""นครนายก!I507"")"),0.0)</f>
        <v>0</v>
      </c>
      <c r="J612" s="232">
        <f>IFERROR(__xludf.DUMMYFUNCTION("IMPORTRANGE(""https://docs.google.com/spreadsheets/d/1SX6NBoVAgQJ6U1MVXOaj8PK2l7WJ3RER9xtqwdhxkhw/edit?usp=sharing"",""นครนายก!J507"")"),0.0)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IFERROR(__xludf.DUMMYFUNCTION("IMPORTRANGE(""https://docs.google.com/spreadsheets/d/1SX6NBoVAgQJ6U1MVXOaj8PK2l7WJ3RER9xtqwdhxkhw/edit?usp=sharing"",""นครนายก!I508"")"),0.0)</f>
        <v>0</v>
      </c>
      <c r="J613" s="232">
        <f>IFERROR(__xludf.DUMMYFUNCTION("IMPORTRANGE(""https://docs.google.com/spreadsheets/d/1SX6NBoVAgQJ6U1MVXOaj8PK2l7WJ3RER9xtqwdhxkhw/edit?usp=sharing"",""นครนายก!J508"")"),0.0)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IFERROR(__xludf.DUMMYFUNCTION("IMPORTRANGE(""https://docs.google.com/spreadsheets/d/1SX6NBoVAgQJ6U1MVXOaj8PK2l7WJ3RER9xtqwdhxkhw/edit?usp=sharing"",""นครนายก!I509"")"),0.0)</f>
        <v>0</v>
      </c>
      <c r="J614" s="232">
        <f>IFERROR(__xludf.DUMMYFUNCTION("IMPORTRANGE(""https://docs.google.com/spreadsheets/d/1SX6NBoVAgQJ6U1MVXOaj8PK2l7WJ3RER9xtqwdhxkhw/edit?usp=sharing"",""นครนายก!J509"")"),0.0)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IFERROR(__xludf.DUMMYFUNCTION("IMPORTRANGE(""https://docs.google.com/spreadsheets/d/1SX6NBoVAgQJ6U1MVXOaj8PK2l7WJ3RER9xtqwdhxkhw/edit?usp=sharing"",""นครนายก!I510"")"),0.0)</f>
        <v>0</v>
      </c>
      <c r="J615" s="232">
        <f>IFERROR(__xludf.DUMMYFUNCTION("IMPORTRANGE(""https://docs.google.com/spreadsheets/d/1SX6NBoVAgQJ6U1MVXOaj8PK2l7WJ3RER9xtqwdhxkhw/edit?usp=sharing"",""นครนายก!J510"")"),0.0)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IFERROR(__xludf.DUMMYFUNCTION("IMPORTRANGE(""https://docs.google.com/spreadsheets/d/1SX6NBoVAgQJ6U1MVXOaj8PK2l7WJ3RER9xtqwdhxkhw/edit?usp=sharing"",""นครนายก!I511"")"),0.0)</f>
        <v>0</v>
      </c>
      <c r="J616" s="232">
        <f>IFERROR(__xludf.DUMMYFUNCTION("IMPORTRANGE(""https://docs.google.com/spreadsheets/d/1SX6NBoVAgQJ6U1MVXOaj8PK2l7WJ3RER9xtqwdhxkhw/edit?usp=sharing"",""นครนายก!J511"")"),0.0)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IFERROR(__xludf.DUMMYFUNCTION("IMPORTRANGE(""https://docs.google.com/spreadsheets/d/1SX6NBoVAgQJ6U1MVXOaj8PK2l7WJ3RER9xtqwdhxkhw/edit?usp=sharing"",""นครนายก!I512"")"),0.0)</f>
        <v>0</v>
      </c>
      <c r="J617" s="222">
        <f>IFERROR(__xludf.DUMMYFUNCTION("IMPORTRANGE(""https://docs.google.com/spreadsheets/d/1SX6NBoVAgQJ6U1MVXOaj8PK2l7WJ3RER9xtqwdhxkhw/edit?usp=sharing"",""นครนายก!J512"")"),0.0)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IFERROR(__xludf.DUMMYFUNCTION("IMPORTRANGE(""https://docs.google.com/spreadsheets/d/1SX6NBoVAgQJ6U1MVXOaj8PK2l7WJ3RER9xtqwdhxkhw/edit?usp=sharing"",""นครนายก!I513"")"),0.0)</f>
        <v>0</v>
      </c>
      <c r="J618" s="223">
        <f>IFERROR(__xludf.DUMMYFUNCTION("IMPORTRANGE(""https://docs.google.com/spreadsheets/d/1SX6NBoVAgQJ6U1MVXOaj8PK2l7WJ3RER9xtqwdhxkhw/edit?usp=sharing"",""นครนายก!J513"")"),0.0)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IFERROR(__xludf.DUMMYFUNCTION("IMPORTRANGE(""https://docs.google.com/spreadsheets/d/1SX6NBoVAgQJ6U1MVXOaj8PK2l7WJ3RER9xtqwdhxkhw/edit?usp=sharing"",""นครนายก!I514"")"),0.0)</f>
        <v>0</v>
      </c>
      <c r="J619" s="223">
        <f>IFERROR(__xludf.DUMMYFUNCTION("IMPORTRANGE(""https://docs.google.com/spreadsheets/d/1SX6NBoVAgQJ6U1MVXOaj8PK2l7WJ3RER9xtqwdhxkhw/edit?usp=sharing"",""นครนายก!J514"")"),0.0)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IFERROR(__xludf.DUMMYFUNCTION("IMPORTRANGE(""https://docs.google.com/spreadsheets/d/1SX6NBoVAgQJ6U1MVXOaj8PK2l7WJ3RER9xtqwdhxkhw/edit?usp=sharing"",""นครนายก!I515"")"),0.0)</f>
        <v>0</v>
      </c>
      <c r="J620" s="237">
        <f>IFERROR(__xludf.DUMMYFUNCTION("IMPORTRANGE(""https://docs.google.com/spreadsheets/d/1SX6NBoVAgQJ6U1MVXOaj8PK2l7WJ3RER9xtqwdhxkhw/edit?usp=sharing"",""นครนายก!J515"")"),0.0)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IFERROR(__xludf.DUMMYFUNCTION("IMPORTRANGE(""https://docs.google.com/spreadsheets/d/1SX6NBoVAgQJ6U1MVXOaj8PK2l7WJ3RER9xtqwdhxkhw/edit?usp=sharing"",""นครนายก!I516"")"),0.0)</f>
        <v>0</v>
      </c>
      <c r="J621" s="237">
        <f>IFERROR(__xludf.DUMMYFUNCTION("IMPORTRANGE(""https://docs.google.com/spreadsheets/d/1SX6NBoVAgQJ6U1MVXOaj8PK2l7WJ3RER9xtqwdhxkhw/edit?usp=sharing"",""นครนายก!J516"")"),0.0)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IFERROR(__xludf.DUMMYFUNCTION("IMPORTRANGE(""https://docs.google.com/spreadsheets/d/1SX6NBoVAgQJ6U1MVXOaj8PK2l7WJ3RER9xtqwdhxkhw/edit?usp=sharing"",""นครนายก!I517"")"),0.0)</f>
        <v>0</v>
      </c>
      <c r="J622" s="223">
        <f>IFERROR(__xludf.DUMMYFUNCTION("IMPORTRANGE(""https://docs.google.com/spreadsheets/d/1SX6NBoVAgQJ6U1MVXOaj8PK2l7WJ3RER9xtqwdhxkhw/edit?usp=sharing"",""นครนายก!J517"")"),0.0)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IFERROR(__xludf.DUMMYFUNCTION("IMPORTRANGE(""https://docs.google.com/spreadsheets/d/1SX6NBoVAgQJ6U1MVXOaj8PK2l7WJ3RER9xtqwdhxkhw/edit?usp=sharing"",""นครนายก!I518"")"),0.0)</f>
        <v>0</v>
      </c>
      <c r="J623" s="223">
        <f>IFERROR(__xludf.DUMMYFUNCTION("IMPORTRANGE(""https://docs.google.com/spreadsheets/d/1SX6NBoVAgQJ6U1MVXOaj8PK2l7WJ3RER9xtqwdhxkhw/edit?usp=sharing"",""นครนายก!J518"")"),0.0)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IFERROR(__xludf.DUMMYFUNCTION("IMPORTRANGE(""https://docs.google.com/spreadsheets/d/1SX6NBoVAgQJ6U1MVXOaj8PK2l7WJ3RER9xtqwdhxkhw/edit?usp=sharing"",""นครนายก!I519"")"),0.0)</f>
        <v>0</v>
      </c>
      <c r="J624" s="222">
        <f>IFERROR(__xludf.DUMMYFUNCTION("IMPORTRANGE(""https://docs.google.com/spreadsheets/d/1SX6NBoVAgQJ6U1MVXOaj8PK2l7WJ3RER9xtqwdhxkhw/edit?usp=sharing"",""นครนายก!J519"")"),0.0)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IFERROR(__xludf.DUMMYFUNCTION("IMPORTRANGE(""https://docs.google.com/spreadsheets/d/1SX6NBoVAgQJ6U1MVXOaj8PK2l7WJ3RER9xtqwdhxkhw/edit?usp=sharing"",""นครนายก!I520"")"),0.0)</f>
        <v>0</v>
      </c>
      <c r="J625" s="223">
        <f>IFERROR(__xludf.DUMMYFUNCTION("IMPORTRANGE(""https://docs.google.com/spreadsheets/d/1SX6NBoVAgQJ6U1MVXOaj8PK2l7WJ3RER9xtqwdhxkhw/edit?usp=sharing"",""นครนายก!J520"")"),0.0)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IFERROR(__xludf.DUMMYFUNCTION("IMPORTRANGE(""https://docs.google.com/spreadsheets/d/1SX6NBoVAgQJ6U1MVXOaj8PK2l7WJ3RER9xtqwdhxkhw/edit?usp=sharing"",""นครนายก!I521"")"),0.0)</f>
        <v>0</v>
      </c>
      <c r="J626" s="223">
        <f>IFERROR(__xludf.DUMMYFUNCTION("IMPORTRANGE(""https://docs.google.com/spreadsheets/d/1SX6NBoVAgQJ6U1MVXOaj8PK2l7WJ3RER9xtqwdhxkhw/edit?usp=sharing"",""นครนายก!J521"")"),0.0)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IFERROR(__xludf.DUMMYFUNCTION("IMPORTRANGE(""https://docs.google.com/spreadsheets/d/1SX6NBoVAgQJ6U1MVXOaj8PK2l7WJ3RER9xtqwdhxkhw/edit?usp=sharing"",""นครนายก!I523"")"),3031999.6)</f>
        <v>3031999.6</v>
      </c>
      <c r="J628" s="374">
        <f>IFERROR(__xludf.DUMMYFUNCTION("IMPORTRANGE(""https://docs.google.com/spreadsheets/d/1SX6NBoVAgQJ6U1MVXOaj8PK2l7WJ3RER9xtqwdhxkhw/edit?usp=sharing"",""นครนายก!J523"")"),384999.6)</f>
        <v>384999.6</v>
      </c>
      <c r="K628" s="375">
        <f t="shared" ref="K628:K635" si="130">IF(I628&gt;0,J628*100/I628,0)</f>
        <v>12.69787766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IFERROR(__xludf.DUMMYFUNCTION("IMPORTRANGE(""https://docs.google.com/spreadsheets/d/1SX6NBoVAgQJ6U1MVXOaj8PK2l7WJ3RER9xtqwdhxkhw/edit?usp=sharing"",""นครนายก!I524"")"),113.0)</f>
        <v>113</v>
      </c>
      <c r="J629" s="374">
        <f>IFERROR(__xludf.DUMMYFUNCTION("IMPORTRANGE(""https://docs.google.com/spreadsheets/d/1SX6NBoVAgQJ6U1MVXOaj8PK2l7WJ3RER9xtqwdhxkhw/edit?usp=sharing"",""นครนายก!J524"")"),10.0)</f>
        <v>10</v>
      </c>
      <c r="K629" s="375">
        <f t="shared" si="130"/>
        <v>8.849557522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IFERROR(__xludf.DUMMYFUNCTION("IMPORTRANGE(""https://docs.google.com/spreadsheets/d/1SX6NBoVAgQJ6U1MVXOaj8PK2l7WJ3RER9xtqwdhxkhw/edit?usp=sharing"",""นครนายก!I525"")"),3755607.57)</f>
        <v>3755607.57</v>
      </c>
      <c r="J630" s="374">
        <f>IFERROR(__xludf.DUMMYFUNCTION("IMPORTRANGE(""https://docs.google.com/spreadsheets/d/1SX6NBoVAgQJ6U1MVXOaj8PK2l7WJ3RER9xtqwdhxkhw/edit?usp=sharing"",""นครนายก!J525"")"),28501.54)</f>
        <v>28501.54</v>
      </c>
      <c r="K630" s="375">
        <f t="shared" si="130"/>
        <v>0.7589062347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IFERROR(__xludf.DUMMYFUNCTION("IMPORTRANGE(""https://docs.google.com/spreadsheets/d/1SX6NBoVAgQJ6U1MVXOaj8PK2l7WJ3RER9xtqwdhxkhw/edit?usp=sharing"",""นครนายก!I526"")"),108.0)</f>
        <v>108</v>
      </c>
      <c r="J631" s="374">
        <f>IFERROR(__xludf.DUMMYFUNCTION("IMPORTRANGE(""https://docs.google.com/spreadsheets/d/1SX6NBoVAgQJ6U1MVXOaj8PK2l7WJ3RER9xtqwdhxkhw/edit?usp=sharing"",""นครนายก!J526"")"),8.0)</f>
        <v>8</v>
      </c>
      <c r="K631" s="375">
        <f t="shared" si="130"/>
        <v>7.407407407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IFERROR(__xludf.DUMMYFUNCTION("IMPORTRANGE(""https://docs.google.com/spreadsheets/d/1SX6NBoVAgQJ6U1MVXOaj8PK2l7WJ3RER9xtqwdhxkhw/edit?usp=sharing"",""นครนายก!I527"")"),5812479.85)</f>
        <v>5812479.85</v>
      </c>
      <c r="J632" s="374">
        <f>IFERROR(__xludf.DUMMYFUNCTION("IMPORTRANGE(""https://docs.google.com/spreadsheets/d/1SX6NBoVAgQJ6U1MVXOaj8PK2l7WJ3RER9xtqwdhxkhw/edit?usp=sharing"",""นครนายก!J527"")"),495108.24)</f>
        <v>495108.24</v>
      </c>
      <c r="K632" s="375">
        <f t="shared" si="130"/>
        <v>8.518020755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IFERROR(__xludf.DUMMYFUNCTION("IMPORTRANGE(""https://docs.google.com/spreadsheets/d/1SX6NBoVAgQJ6U1MVXOaj8PK2l7WJ3RER9xtqwdhxkhw/edit?usp=sharing"",""นครนายก!I528"")"),2019.0)</f>
        <v>2019</v>
      </c>
      <c r="J633" s="374">
        <f>IFERROR(__xludf.DUMMYFUNCTION("IMPORTRANGE(""https://docs.google.com/spreadsheets/d/1SX6NBoVAgQJ6U1MVXOaj8PK2l7WJ3RER9xtqwdhxkhw/edit?usp=sharing"",""นครนายก!J528"")"),153.0)</f>
        <v>153</v>
      </c>
      <c r="K633" s="375">
        <f t="shared" si="130"/>
        <v>7.578008915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IFERROR(__xludf.DUMMYFUNCTION("IMPORTRANGE(""https://docs.google.com/spreadsheets/d/1SX6NBoVAgQJ6U1MVXOaj8PK2l7WJ3RER9xtqwdhxkhw/edit?usp=sharing"",""นครนายก!I529"")"),2000000.0)</f>
        <v>2000000</v>
      </c>
      <c r="J634" s="374">
        <f>IFERROR(__xludf.DUMMYFUNCTION("IMPORTRANGE(""https://docs.google.com/spreadsheets/d/1SX6NBoVAgQJ6U1MVXOaj8PK2l7WJ3RER9xtqwdhxkhw/edit?usp=sharing"",""นครนายก!J529"")"),100000.0)</f>
        <v>100000</v>
      </c>
      <c r="K634" s="375">
        <f t="shared" si="130"/>
        <v>5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IFERROR(__xludf.DUMMYFUNCTION("IMPORTRANGE(""https://docs.google.com/spreadsheets/d/1SX6NBoVAgQJ6U1MVXOaj8PK2l7WJ3RER9xtqwdhxkhw/edit?usp=sharing"",""นครนายก!I530"")"),60.0)</f>
        <v>60</v>
      </c>
      <c r="J635" s="544">
        <f>IFERROR(__xludf.DUMMYFUNCTION("IMPORTRANGE(""https://docs.google.com/spreadsheets/d/1SX6NBoVAgQJ6U1MVXOaj8PK2l7WJ3RER9xtqwdhxkhw/edit?usp=sharing"",""นครนายก!J530"")"),4.0)</f>
        <v>4</v>
      </c>
      <c r="K635" s="519">
        <f t="shared" si="130"/>
        <v>6.666666667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6.38"/>
  </cols>
  <sheetData>
    <row r="1" ht="18.0" customHeight="1">
      <c r="A1" s="1" t="s">
        <v>0</v>
      </c>
      <c r="P1" s="1"/>
    </row>
    <row r="2" ht="18.0" customHeight="1">
      <c r="A2" s="2" t="s">
        <v>253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2426205</v>
      </c>
      <c r="M8" s="41">
        <f t="shared" si="1"/>
        <v>1019405</v>
      </c>
      <c r="N8" s="41">
        <f t="shared" si="1"/>
        <v>797487.7</v>
      </c>
      <c r="O8" s="40">
        <f t="shared" ref="O8:O16" si="3">IF(L8&gt;0,N8*100/L8,0)</f>
        <v>32.8697575</v>
      </c>
      <c r="P8" s="40">
        <f t="shared" ref="P8:P16" si="4">IF(M8&gt;0,N8*100/M8,0)</f>
        <v>78.2307032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2426205</v>
      </c>
      <c r="M10" s="48">
        <f t="shared" si="5"/>
        <v>1019405</v>
      </c>
      <c r="N10" s="48">
        <f t="shared" si="5"/>
        <v>797487.7</v>
      </c>
      <c r="O10" s="47">
        <f t="shared" si="3"/>
        <v>32.8697575</v>
      </c>
      <c r="P10" s="47">
        <f t="shared" si="4"/>
        <v>78.2307032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2279205</v>
      </c>
      <c r="M12" s="58">
        <f t="shared" si="7"/>
        <v>1019405</v>
      </c>
      <c r="N12" s="58">
        <f t="shared" si="7"/>
        <v>654937.7</v>
      </c>
      <c r="O12" s="58">
        <f t="shared" si="3"/>
        <v>28.73535728</v>
      </c>
      <c r="P12" s="58">
        <f t="shared" si="4"/>
        <v>64.24705588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1468000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811205</v>
      </c>
      <c r="M14" s="58">
        <f t="shared" si="9"/>
        <v>0</v>
      </c>
      <c r="N14" s="58">
        <f t="shared" si="9"/>
        <v>116731.7</v>
      </c>
      <c r="O14" s="61">
        <f t="shared" si="3"/>
        <v>14.38991377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142550</v>
      </c>
      <c r="O16" s="70">
        <f t="shared" si="3"/>
        <v>96.97278912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2071605</v>
      </c>
      <c r="M18" s="41">
        <f t="shared" si="12"/>
        <v>1019405</v>
      </c>
      <c r="N18" s="41">
        <f t="shared" si="12"/>
        <v>680756</v>
      </c>
      <c r="O18" s="40">
        <f t="shared" ref="O18:O20" si="14">IF(L18&gt;0,N18*100/L18,0)</f>
        <v>32.86128388</v>
      </c>
      <c r="P18" s="40">
        <f t="shared" ref="P18:P26" si="15">IF(M18&gt;0,N18*100/M18,0)</f>
        <v>66.77973916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2071605</v>
      </c>
      <c r="M20" s="48">
        <f t="shared" si="16"/>
        <v>1019405</v>
      </c>
      <c r="N20" s="48">
        <f t="shared" si="16"/>
        <v>680756</v>
      </c>
      <c r="O20" s="47">
        <f t="shared" si="14"/>
        <v>32.86128388</v>
      </c>
      <c r="P20" s="47">
        <f t="shared" si="15"/>
        <v>66.77973916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1924605</v>
      </c>
      <c r="M22" s="62">
        <f t="shared" si="18"/>
        <v>1019405</v>
      </c>
      <c r="N22" s="61">
        <f t="shared" si="18"/>
        <v>538206</v>
      </c>
      <c r="O22" s="61">
        <f t="shared" si="19"/>
        <v>27.96449142</v>
      </c>
      <c r="P22" s="61">
        <f t="shared" si="15"/>
        <v>52.79609184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1468000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456605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142550</v>
      </c>
      <c r="O26" s="70">
        <f t="shared" si="19"/>
        <v>96.97278912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354600</v>
      </c>
      <c r="M28" s="41">
        <f t="shared" si="24"/>
        <v>0</v>
      </c>
      <c r="N28" s="41">
        <f t="shared" si="24"/>
        <v>116731.7</v>
      </c>
      <c r="O28" s="40">
        <f t="shared" ref="O28:O30" si="26">IF(L28&gt;0,N28*100/L28,0)</f>
        <v>32.91926114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354600</v>
      </c>
      <c r="M30" s="48">
        <f t="shared" si="28"/>
        <v>0</v>
      </c>
      <c r="N30" s="48">
        <f t="shared" si="28"/>
        <v>116731.7</v>
      </c>
      <c r="O30" s="47">
        <f t="shared" si="26"/>
        <v>32.91926114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354600</v>
      </c>
      <c r="M32" s="61">
        <f t="shared" si="30"/>
        <v>0</v>
      </c>
      <c r="N32" s="61">
        <f t="shared" si="30"/>
        <v>116731.7</v>
      </c>
      <c r="O32" s="61">
        <f t="shared" si="31"/>
        <v>32.91926114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354600</v>
      </c>
      <c r="M34" s="61">
        <f t="shared" si="33"/>
        <v>0</v>
      </c>
      <c r="N34" s="61">
        <f t="shared" si="33"/>
        <v>116731.7</v>
      </c>
      <c r="O34" s="61">
        <f t="shared" si="31"/>
        <v>32.91926114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2071605</v>
      </c>
      <c r="M37" s="75">
        <f t="shared" si="34"/>
        <v>1019405</v>
      </c>
      <c r="N37" s="75">
        <f t="shared" si="34"/>
        <v>680756</v>
      </c>
      <c r="O37" s="76">
        <f t="shared" si="31"/>
        <v>32.86128388</v>
      </c>
      <c r="P37" s="76">
        <f t="shared" si="27"/>
        <v>66.77973916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563300</v>
      </c>
      <c r="M41" s="102">
        <f t="shared" si="35"/>
        <v>281700</v>
      </c>
      <c r="N41" s="102">
        <f t="shared" si="35"/>
        <v>186293</v>
      </c>
      <c r="O41" s="101">
        <f t="shared" ref="O41:O43" si="37">IF(L41&gt;0,N41*100/L41,0)</f>
        <v>33.07172022</v>
      </c>
      <c r="P41" s="101">
        <f t="shared" ref="P41:P43" si="38">IF(M41&gt;0,N41*100/M41,0)</f>
        <v>66.13170039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563300</v>
      </c>
      <c r="M43" s="102">
        <f t="shared" si="39"/>
        <v>281700</v>
      </c>
      <c r="N43" s="102">
        <f t="shared" si="39"/>
        <v>186293</v>
      </c>
      <c r="O43" s="101">
        <f t="shared" si="37"/>
        <v>33.07172022</v>
      </c>
      <c r="P43" s="101">
        <f t="shared" si="38"/>
        <v>66.13170039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563300</v>
      </c>
      <c r="M45" s="70">
        <f>IFERROR(__xludf.DUMMYFUNCTION("IMPORTRANGE(""https://docs.google.com/spreadsheets/d/1Yj_ptqi66GCucihVvJfMjLAmec39IyEx_6qawtMGysU/edit?usp=sharing"",""สบก!Q66"")"),281700.0)</f>
        <v>281700</v>
      </c>
      <c r="N45" s="70">
        <f>IFERROR(__xludf.DUMMYFUNCTION("IMPORTRANGE(""https://docs.google.com/spreadsheets/d/1Yj_ptqi66GCucihVvJfMjLAmec39IyEx_6qawtMGysU/edit?usp=sharing"",""สบก!R66"")"),186293.0)</f>
        <v>186293</v>
      </c>
      <c r="O45" s="61">
        <f>IF(L45&gt;0,N45*100/L45,0)</f>
        <v>33.07172022</v>
      </c>
      <c r="P45" s="61">
        <f>IF(M45&gt;0,N45*100/M45,0)</f>
        <v>66.13170039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70">
        <f>IFERROR(__xludf.DUMMYFUNCTION("IMPORTRANGE(""https://docs.google.com/spreadsheets/d/1Yj_ptqi66GCucihVvJfMjLAmec39IyEx_6qawtMGysU/edit?usp=sharing"",""สบก!M66"")"),563300.0)</f>
        <v>563300</v>
      </c>
      <c r="M46" s="62"/>
      <c r="N46" s="61"/>
      <c r="O46" s="61"/>
      <c r="P46" s="61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70">
        <f>IFERROR(__xludf.DUMMYFUNCTION("IMPORTRANGE(""https://docs.google.com/spreadsheets/d/1Yj_ptqi66GCucihVvJfMjLAmec39IyEx_6qawtMGysU/edit?usp=sharing"",""สบก!N66"")"),0.0)</f>
        <v>0</v>
      </c>
      <c r="M47" s="62"/>
      <c r="N47" s="61"/>
      <c r="O47" s="61"/>
      <c r="P47" s="61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62"/>
      <c r="N48" s="62"/>
      <c r="O48" s="62"/>
      <c r="P48" s="62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70">
        <f>IFERROR(__xludf.DUMMYFUNCTION("IMPORTRANGE(""https://docs.google.com/spreadsheets/d/1Yj_ptqi66GCucihVvJfMjLAmec39IyEx_6qawtMGysU/edit?usp=sharing"",""สบก!O66"")"),0.0)</f>
        <v>0</v>
      </c>
      <c r="M49" s="70"/>
      <c r="N49" s="70">
        <f>IFERROR(__xludf.DUMMYFUNCTION("IMPORTRANGE(""https://docs.google.com/spreadsheets/d/1Yj_ptqi66GCucihVvJfMjLAmec39IyEx_6qawtMGysU/edit?usp=sharing"",""สบก!S66"")"),0.0)</f>
        <v>0</v>
      </c>
      <c r="O49" s="70">
        <f>IF(L49&gt;0,N49*100/L49,0)</f>
        <v>0</v>
      </c>
      <c r="P49" s="70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288000</v>
      </c>
      <c r="M53" s="151">
        <f t="shared" si="40"/>
        <v>162000</v>
      </c>
      <c r="N53" s="151">
        <f t="shared" si="40"/>
        <v>108872</v>
      </c>
      <c r="O53" s="150">
        <f t="shared" ref="O53:O55" si="42">IF(L53&gt;0,N53*100/L53,0)</f>
        <v>37.80277778</v>
      </c>
      <c r="P53" s="150">
        <f t="shared" ref="P53:P55" si="43">IF(M53&gt;0,N53*100/M53,0)</f>
        <v>67.20493827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288000</v>
      </c>
      <c r="M55" s="151">
        <f t="shared" si="44"/>
        <v>162000</v>
      </c>
      <c r="N55" s="151">
        <f t="shared" si="44"/>
        <v>108872</v>
      </c>
      <c r="O55" s="150">
        <f t="shared" si="42"/>
        <v>37.80277778</v>
      </c>
      <c r="P55" s="150">
        <f t="shared" si="43"/>
        <v>67.20493827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58">
        <v>0.0</v>
      </c>
      <c r="M56" s="188"/>
      <c r="N56" s="58"/>
      <c r="O56" s="58"/>
      <c r="P56" s="58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288000</v>
      </c>
      <c r="M57" s="70">
        <f>IFERROR(__xludf.DUMMYFUNCTION("IMPORTRANGE(""https://docs.google.com/spreadsheets/d/1Yj_ptqi66GCucihVvJfMjLAmec39IyEx_6qawtMGysU/edit?usp=sharing"",""สบก!Z66"")"),162000.0)</f>
        <v>162000</v>
      </c>
      <c r="N57" s="70">
        <f>IFERROR(__xludf.DUMMYFUNCTION("IMPORTRANGE(""https://docs.google.com/spreadsheets/d/1Yj_ptqi66GCucihVvJfMjLAmec39IyEx_6qawtMGysU/edit?usp=sharing"",""สบก!AA66"")"),108872.0)</f>
        <v>108872</v>
      </c>
      <c r="O57" s="61">
        <f>IF(L57&gt;0,N57*100/L57,0)</f>
        <v>37.80277778</v>
      </c>
      <c r="P57" s="61">
        <f>IF(M57&gt;0,N57*100/M57,0)</f>
        <v>67.20493827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70">
        <f>IFERROR(__xludf.DUMMYFUNCTION("IMPORTRANGE(""https://docs.google.com/spreadsheets/d/1Yj_ptqi66GCucihVvJfMjLAmec39IyEx_6qawtMGysU/edit?usp=sharing"",""สบก!V66"")"),288000.0)</f>
        <v>288000</v>
      </c>
      <c r="M58" s="62"/>
      <c r="N58" s="61"/>
      <c r="O58" s="61"/>
      <c r="P58" s="61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70">
        <f>IFERROR(__xludf.DUMMYFUNCTION("IMPORTRANGE(""https://docs.google.com/spreadsheets/d/1Yj_ptqi66GCucihVvJfMjLAmec39IyEx_6qawtMGysU/edit?usp=sharing"",""สบก!W66"")"),0.0)</f>
        <v>0</v>
      </c>
      <c r="M59" s="62"/>
      <c r="N59" s="61"/>
      <c r="O59" s="61"/>
      <c r="P59" s="61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62"/>
      <c r="N60" s="62"/>
      <c r="O60" s="62"/>
      <c r="P60" s="62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70">
        <f>IFERROR(__xludf.DUMMYFUNCTION("IMPORTRANGE(""https://docs.google.com/spreadsheets/d/1Yj_ptqi66GCucihVvJfMjLAmec39IyEx_6qawtMGysU/edit?usp=sharing"",""สบก!X66"")"),0.0)</f>
        <v>0</v>
      </c>
      <c r="M61" s="70"/>
      <c r="N61" s="70">
        <f>IFERROR(__xludf.DUMMYFUNCTION("IMPORTRANGE(""https://docs.google.com/spreadsheets/d/1Yj_ptqi66GCucihVvJfMjLAmec39IyEx_6qawtMGysU/edit?usp=sharing"",""สบก!AB66"")"),0.0)</f>
        <v>0</v>
      </c>
      <c r="O61" s="70">
        <f>IF(L61&gt;0,N61*100/L61,0)</f>
        <v>0</v>
      </c>
      <c r="P61" s="70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IFERROR(__xludf.DUMMYFUNCTION("IMPORTRANGE(""https://docs.google.com/spreadsheets/d/1SX6NBoVAgQJ6U1MVXOaj8PK2l7WJ3RER9xtqwdhxkhw/edit?usp=sharing"",""นครปฐม!I9"")"),0.0)</f>
        <v>0</v>
      </c>
      <c r="J64" s="172">
        <f>IFERROR(__xludf.DUMMYFUNCTION("IMPORTRANGE(""https://docs.google.com/spreadsheets/d/1SX6NBoVAgQJ6U1MVXOaj8PK2l7WJ3RER9xtqwdhxkhw/edit?usp=sharing"",""นครปฐม!J9"")"),0.0)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IFERROR(__xludf.DUMMYFUNCTION("IMPORTRANGE(""https://docs.google.com/spreadsheets/d/1SX6NBoVAgQJ6U1MVXOaj8PK2l7WJ3RER9xtqwdhxkhw/edit?usp=sharing"",""นครปฐม!I10"")"),0.0)</f>
        <v>0</v>
      </c>
      <c r="J65" s="172">
        <f>IFERROR(__xludf.DUMMYFUNCTION("IMPORTRANGE(""https://docs.google.com/spreadsheets/d/1SX6NBoVAgQJ6U1MVXOaj8PK2l7WJ3RER9xtqwdhxkhw/edit?usp=sharing"",""นครปฐม!J10"")"),0.0)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0">
        <f>IFERROR(__xludf.DUMMYFUNCTION("IMPORTRANGE(""https://docs.google.com/spreadsheets/d/1Yj_ptqi66GCucihVvJfMjLAmec39IyEx_6qawtMGysU/edit?usp=sharing"",""สบก!AI66"")"),0.0)</f>
        <v>0</v>
      </c>
      <c r="N70" s="203">
        <f>IFERROR(__xludf.DUMMYFUNCTION("IMPORTRANGE(""https://docs.google.com/spreadsheets/d/1Yj_ptqi66GCucihVvJfMjLAmec39IyEx_6qawtMGysU/edit?usp=sharing"",""สบก!AJ66"")"),0.0)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0">
        <f>IFERROR(__xludf.DUMMYFUNCTION("IMPORTRANGE(""https://docs.google.com/spreadsheets/d/1Yj_ptqi66GCucihVvJfMjLAmec39IyEx_6qawtMGysU/edit?usp=sharing"",""สบก!AE66"")"),0.0)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0">
        <f>IFERROR(__xludf.DUMMYFUNCTION("IMPORTRANGE(""https://docs.google.com/spreadsheets/d/1Yj_ptqi66GCucihVvJfMjLAmec39IyEx_6qawtMGysU/edit?usp=sharing"",""สบก!AF66"")"),0.0)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62">
        <v>0.0</v>
      </c>
      <c r="M73" s="62"/>
      <c r="N73" s="62"/>
      <c r="O73" s="62"/>
      <c r="P73" s="62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70">
        <f>IFERROR(__xludf.DUMMYFUNCTION("IMPORTRANGE(""https://docs.google.com/spreadsheets/d/1Yj_ptqi66GCucihVvJfMjLAmec39IyEx_6qawtMGysU/edit?usp=sharing"",""สบก!AG66"")"),0.0)</f>
        <v>0</v>
      </c>
      <c r="M74" s="70"/>
      <c r="N74" s="70">
        <f>IFERROR(__xludf.DUMMYFUNCTION("IMPORTRANGE(""https://docs.google.com/spreadsheets/d/1Yj_ptqi66GCucihVvJfMjLAmec39IyEx_6qawtMGysU/edit?usp=sharing"",""สบก!AK66"")"),0.0)</f>
        <v>0</v>
      </c>
      <c r="O74" s="70">
        <f>IF(L74&gt;0,N74*100/L74,0)</f>
        <v>0</v>
      </c>
      <c r="P74" s="70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IFERROR(__xludf.DUMMYFUNCTION("IMPORTRANGE(""https://docs.google.com/spreadsheets/d/1SX6NBoVAgQJ6U1MVXOaj8PK2l7WJ3RER9xtqwdhxkhw/edit?usp=sharing"",""นครปฐม!J16"")"),0.0)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IFERROR(__xludf.DUMMYFUNCTION("IMPORTRANGE(""https://docs.google.com/spreadsheets/d/1SX6NBoVAgQJ6U1MVXOaj8PK2l7WJ3RER9xtqwdhxkhw/edit?usp=sharing"",""นครปฐม!J17"")"),0.0)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IFERROR(__xludf.DUMMYFUNCTION("IMPORTRANGE(""https://docs.google.com/spreadsheets/d/1SX6NBoVAgQJ6U1MVXOaj8PK2l7WJ3RER9xtqwdhxkhw/edit?usp=sharing"",""นครปฐม!J18"")"),0.0)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IFERROR(__xludf.DUMMYFUNCTION("IMPORTRANGE(""https://docs.google.com/spreadsheets/d/1SX6NBoVAgQJ6U1MVXOaj8PK2l7WJ3RER9xtqwdhxkhw/edit?usp=sharing"",""นครปฐม!J19"")"),0.0)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IFERROR(__xludf.DUMMYFUNCTION("IMPORTRANGE(""https://docs.google.com/spreadsheets/d/1SX6NBoVAgQJ6U1MVXOaj8PK2l7WJ3RER9xtqwdhxkhw/edit?usp=sharing"",""นครปฐม!I20"")"),0.0)</f>
        <v>0</v>
      </c>
      <c r="J80" s="235">
        <f>IFERROR(__xludf.DUMMYFUNCTION("IMPORTRANGE(""https://docs.google.com/spreadsheets/d/1SX6NBoVAgQJ6U1MVXOaj8PK2l7WJ3RER9xtqwdhxkhw/edit?usp=sharing"",""นครปฐม!J20"")"),0.0)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IFERROR(__xludf.DUMMYFUNCTION("IMPORTRANGE(""https://docs.google.com/spreadsheets/d/1SX6NBoVAgQJ6U1MVXOaj8PK2l7WJ3RER9xtqwdhxkhw/edit?usp=sharing"",""นครปฐม!I21"")"),0.0)</f>
        <v>0</v>
      </c>
      <c r="J81" s="235">
        <f>IFERROR(__xludf.DUMMYFUNCTION("IMPORTRANGE(""https://docs.google.com/spreadsheets/d/1SX6NBoVAgQJ6U1MVXOaj8PK2l7WJ3RER9xtqwdhxkhw/edit?usp=sharing"",""นครปฐม!J21"")"),0.0)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IFERROR(__xludf.DUMMYFUNCTION("IMPORTRANGE(""https://docs.google.com/spreadsheets/d/1SX6NBoVAgQJ6U1MVXOaj8PK2l7WJ3RER9xtqwdhxkhw/edit?usp=sharing"",""นครปฐม!I22"")"),0.0)</f>
        <v>0</v>
      </c>
      <c r="J82" s="238">
        <f>IFERROR(__xludf.DUMMYFUNCTION("IMPORTRANGE(""https://docs.google.com/spreadsheets/d/1SX6NBoVAgQJ6U1MVXOaj8PK2l7WJ3RER9xtqwdhxkhw/edit?usp=sharing"",""นครปฐม!J22"")"),0.0)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IFERROR(__xludf.DUMMYFUNCTION("IMPORTRANGE(""https://docs.google.com/spreadsheets/d/1SX6NBoVAgQJ6U1MVXOaj8PK2l7WJ3RER9xtqwdhxkhw/edit?usp=sharing"",""นครปฐม!I23"")"),0.0)</f>
        <v>0</v>
      </c>
      <c r="J83" s="238">
        <f>IFERROR(__xludf.DUMMYFUNCTION("IMPORTRANGE(""https://docs.google.com/spreadsheets/d/1SX6NBoVAgQJ6U1MVXOaj8PK2l7WJ3RER9xtqwdhxkhw/edit?usp=sharing"",""นครปฐม!J23"")"),0.0)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IFERROR(__xludf.DUMMYFUNCTION("IMPORTRANGE(""https://docs.google.com/spreadsheets/d/1SX6NBoVAgQJ6U1MVXOaj8PK2l7WJ3RER9xtqwdhxkhw/edit?usp=sharing"",""นครปฐม!I24"")"),0.0)</f>
        <v>0</v>
      </c>
      <c r="J84" s="223">
        <f>IFERROR(__xludf.DUMMYFUNCTION("IMPORTRANGE(""https://docs.google.com/spreadsheets/d/1SX6NBoVAgQJ6U1MVXOaj8PK2l7WJ3RER9xtqwdhxkhw/edit?usp=sharing"",""นครปฐม!J24"")"),0.0)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IFERROR(__xludf.DUMMYFUNCTION("IMPORTRANGE(""https://docs.google.com/spreadsheets/d/1SX6NBoVAgQJ6U1MVXOaj8PK2l7WJ3RER9xtqwdhxkhw/edit?usp=sharing"",""นครปฐม!I25"")"),0.0)</f>
        <v>0</v>
      </c>
      <c r="J85" s="223">
        <f>IFERROR(__xludf.DUMMYFUNCTION("IMPORTRANGE(""https://docs.google.com/spreadsheets/d/1SX6NBoVAgQJ6U1MVXOaj8PK2l7WJ3RER9xtqwdhxkhw/edit?usp=sharing"",""นครปฐม!J25"")"),0.0)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IFERROR(__xludf.DUMMYFUNCTION("IMPORTRANGE(""https://docs.google.com/spreadsheets/d/1SX6NBoVAgQJ6U1MVXOaj8PK2l7WJ3RER9xtqwdhxkhw/edit?usp=sharing"",""นครปฐม!I26"")"),0.0)</f>
        <v>0</v>
      </c>
      <c r="J86" s="238">
        <f>IFERROR(__xludf.DUMMYFUNCTION("IMPORTRANGE(""https://docs.google.com/spreadsheets/d/1SX6NBoVAgQJ6U1MVXOaj8PK2l7WJ3RER9xtqwdhxkhw/edit?usp=sharing"",""นครปฐม!J26"")"),0.0)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IFERROR(__xludf.DUMMYFUNCTION("IMPORTRANGE(""https://docs.google.com/spreadsheets/d/1SX6NBoVAgQJ6U1MVXOaj8PK2l7WJ3RER9xtqwdhxkhw/edit?usp=sharing"",""นครปฐม!I27"")"),0.0)</f>
        <v>0</v>
      </c>
      <c r="J87" s="238">
        <f>IFERROR(__xludf.DUMMYFUNCTION("IMPORTRANGE(""https://docs.google.com/spreadsheets/d/1SX6NBoVAgQJ6U1MVXOaj8PK2l7WJ3RER9xtqwdhxkhw/edit?usp=sharing"",""นครปฐม!J27"")"),0.0)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IFERROR(__xludf.DUMMYFUNCTION("IMPORTRANGE(""https://docs.google.com/spreadsheets/d/1SX6NBoVAgQJ6U1MVXOaj8PK2l7WJ3RER9xtqwdhxkhw/edit?usp=sharing"",""นครปฐม!I28"")"),0.0)</f>
        <v>0</v>
      </c>
      <c r="J88" s="238">
        <f>IFERROR(__xludf.DUMMYFUNCTION("IMPORTRANGE(""https://docs.google.com/spreadsheets/d/1SX6NBoVAgQJ6U1MVXOaj8PK2l7WJ3RER9xtqwdhxkhw/edit?usp=sharing"",""นครปฐม!J28"")"),0.0)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IFERROR(__xludf.DUMMYFUNCTION("IMPORTRANGE(""https://docs.google.com/spreadsheets/d/1SX6NBoVAgQJ6U1MVXOaj8PK2l7WJ3RER9xtqwdhxkhw/edit?usp=sharing"",""นครปฐม!J29"")"),0.0)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IFERROR(__xludf.DUMMYFUNCTION("IMPORTRANGE(""https://docs.google.com/spreadsheets/d/1SX6NBoVAgQJ6U1MVXOaj8PK2l7WJ3RER9xtqwdhxkhw/edit?usp=sharing"",""นครปฐม!J30"")"),0.0)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IFERROR(__xludf.DUMMYFUNCTION("IMPORTRANGE(""https://docs.google.com/spreadsheets/d/1SX6NBoVAgQJ6U1MVXOaj8PK2l7WJ3RER9xtqwdhxkhw/edit?usp=sharing"",""นครปฐม!I32"")"),0.0)</f>
        <v>0</v>
      </c>
      <c r="J92" s="172">
        <f>IFERROR(__xludf.DUMMYFUNCTION("IMPORTRANGE(""https://docs.google.com/spreadsheets/d/1SX6NBoVAgQJ6U1MVXOaj8PK2l7WJ3RER9xtqwdhxkhw/edit?usp=sharing"",""นครปฐม!J32"")"),0.0)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IFERROR(__xludf.DUMMYFUNCTION("IMPORTRANGE(""https://docs.google.com/spreadsheets/d/1SX6NBoVAgQJ6U1MVXOaj8PK2l7WJ3RER9xtqwdhxkhw/edit?usp=sharing"",""นครปฐม!I33"")"),0.0)</f>
        <v>0</v>
      </c>
      <c r="J93" s="172">
        <f>IFERROR(__xludf.DUMMYFUNCTION("IMPORTRANGE(""https://docs.google.com/spreadsheets/d/1SX6NBoVAgQJ6U1MVXOaj8PK2l7WJ3RER9xtqwdhxkhw/edit?usp=sharing"",""นครปฐม!J33"")"),0.0)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0">
        <f>IFERROR(__xludf.DUMMYFUNCTION("IMPORTRANGE(""https://docs.google.com/spreadsheets/d/1Yj_ptqi66GCucihVvJfMjLAmec39IyEx_6qawtMGysU/edit?usp=sharing"",""สบก!AR66"")"),0.0)</f>
        <v>0</v>
      </c>
      <c r="N98" s="203">
        <f>IFERROR(__xludf.DUMMYFUNCTION("IMPORTRANGE(""https://docs.google.com/spreadsheets/d/1Yj_ptqi66GCucihVvJfMjLAmec39IyEx_6qawtMGysU/edit?usp=sharing"",""สบก!AS66"")"),0.0)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0">
        <f>IFERROR(__xludf.DUMMYFUNCTION("IMPORTRANGE(""https://docs.google.com/spreadsheets/d/1Yj_ptqi66GCucihVvJfMjLAmec39IyEx_6qawtMGysU/edit?usp=sharing"",""สบก!AN66"")"),0.0)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0">
        <f>IFERROR(__xludf.DUMMYFUNCTION("IMPORTRANGE(""https://docs.google.com/spreadsheets/d/1Yj_ptqi66GCucihVvJfMjLAmec39IyEx_6qawtMGysU/edit?usp=sharing"",""สบก!AO66"")"),0.0)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62">
        <v>0.0</v>
      </c>
      <c r="M101" s="62"/>
      <c r="N101" s="62"/>
      <c r="O101" s="62"/>
      <c r="P101" s="62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70">
        <f>IFERROR(__xludf.DUMMYFUNCTION("IMPORTRANGE(""https://docs.google.com/spreadsheets/d/1Yj_ptqi66GCucihVvJfMjLAmec39IyEx_6qawtMGysU/edit?usp=sharing"",""สบก!AP66"")"),0.0)</f>
        <v>0</v>
      </c>
      <c r="M102" s="70"/>
      <c r="N102" s="70">
        <f>IFERROR(__xludf.DUMMYFUNCTION("IMPORTRANGE(""https://docs.google.com/spreadsheets/d/1Yj_ptqi66GCucihVvJfMjLAmec39IyEx_6qawtMGysU/edit?usp=sharing"",""สบก!AT66"")"),0.0)</f>
        <v>0</v>
      </c>
      <c r="O102" s="70">
        <f>IF(L102&gt;0,N102*100/L102,0)</f>
        <v>0</v>
      </c>
      <c r="P102" s="70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IFERROR(__xludf.DUMMYFUNCTION("IMPORTRANGE(""https://docs.google.com/spreadsheets/d/1SX6NBoVAgQJ6U1MVXOaj8PK2l7WJ3RER9xtqwdhxkhw/edit?usp=sharing"",""นครปฐม!J39"")"),0.0)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IFERROR(__xludf.DUMMYFUNCTION("IMPORTRANGE(""https://docs.google.com/spreadsheets/d/1SX6NBoVAgQJ6U1MVXOaj8PK2l7WJ3RER9xtqwdhxkhw/edit?usp=sharing"",""นครปฐม!J40"")"),0.0)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IFERROR(__xludf.DUMMYFUNCTION("IMPORTRANGE(""https://docs.google.com/spreadsheets/d/1SX6NBoVAgQJ6U1MVXOaj8PK2l7WJ3RER9xtqwdhxkhw/edit?usp=sharing"",""นครปฐม!J41"")"),0.0)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IFERROR(__xludf.DUMMYFUNCTION("IMPORTRANGE(""https://docs.google.com/spreadsheets/d/1SX6NBoVAgQJ6U1MVXOaj8PK2l7WJ3RER9xtqwdhxkhw/edit?usp=sharing"",""นครปฐม!J42"")"),0.0)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IFERROR(__xludf.DUMMYFUNCTION("IMPORTRANGE(""https://docs.google.com/spreadsheets/d/1SX6NBoVAgQJ6U1MVXOaj8PK2l7WJ3RER9xtqwdhxkhw/edit?usp=sharing"",""นครปฐม!I43"")"),0.0)</f>
        <v>0</v>
      </c>
      <c r="J108" s="238">
        <f>IFERROR(__xludf.DUMMYFUNCTION("IMPORTRANGE(""https://docs.google.com/spreadsheets/d/1SX6NBoVAgQJ6U1MVXOaj8PK2l7WJ3RER9xtqwdhxkhw/edit?usp=sharing"",""นครปฐม!J43"")"),0.0)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IFERROR(__xludf.DUMMYFUNCTION("IMPORTRANGE(""https://docs.google.com/spreadsheets/d/1SX6NBoVAgQJ6U1MVXOaj8PK2l7WJ3RER9xtqwdhxkhw/edit?usp=sharing"",""นครปฐม!I44"")"),0.0)</f>
        <v>0</v>
      </c>
      <c r="J109" s="238">
        <f>IFERROR(__xludf.DUMMYFUNCTION("IMPORTRANGE(""https://docs.google.com/spreadsheets/d/1SX6NBoVAgQJ6U1MVXOaj8PK2l7WJ3RER9xtqwdhxkhw/edit?usp=sharing"",""นครปฐม!J44"")"),0.0)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IFERROR(__xludf.DUMMYFUNCTION("IMPORTRANGE(""https://docs.google.com/spreadsheets/d/1SX6NBoVAgQJ6U1MVXOaj8PK2l7WJ3RER9xtqwdhxkhw/edit?usp=sharing"",""นครปฐม!I45"")"),0.0)</f>
        <v>0</v>
      </c>
      <c r="J110" s="238">
        <f>IFERROR(__xludf.DUMMYFUNCTION("IMPORTRANGE(""https://docs.google.com/spreadsheets/d/1SX6NBoVAgQJ6U1MVXOaj8PK2l7WJ3RER9xtqwdhxkhw/edit?usp=sharing"",""นครปฐม!J45"")"),0.0)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IFERROR(__xludf.DUMMYFUNCTION("IMPORTRANGE(""https://docs.google.com/spreadsheets/d/1SX6NBoVAgQJ6U1MVXOaj8PK2l7WJ3RER9xtqwdhxkhw/edit?usp=sharing"",""นครปฐม!I46"")"),0.0)</f>
        <v>0</v>
      </c>
      <c r="J111" s="238">
        <f>IFERROR(__xludf.DUMMYFUNCTION("IMPORTRANGE(""https://docs.google.com/spreadsheets/d/1SX6NBoVAgQJ6U1MVXOaj8PK2l7WJ3RER9xtqwdhxkhw/edit?usp=sharing"",""นครปฐม!J46"")"),0.0)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IFERROR(__xludf.DUMMYFUNCTION("IMPORTRANGE(""https://docs.google.com/spreadsheets/d/1SX6NBoVAgQJ6U1MVXOaj8PK2l7WJ3RER9xtqwdhxkhw/edit?usp=sharing"",""นครปฐม!I47"")"),0.0)</f>
        <v>0</v>
      </c>
      <c r="J112" s="238">
        <f>IFERROR(__xludf.DUMMYFUNCTION("IMPORTRANGE(""https://docs.google.com/spreadsheets/d/1SX6NBoVAgQJ6U1MVXOaj8PK2l7WJ3RER9xtqwdhxkhw/edit?usp=sharing"",""นครปฐม!J47"")"),0.0)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IFERROR(__xludf.DUMMYFUNCTION("IMPORTRANGE(""https://docs.google.com/spreadsheets/d/1SX6NBoVAgQJ6U1MVXOaj8PK2l7WJ3RER9xtqwdhxkhw/edit?usp=sharing"",""นครปฐม!I48"")"),0.0)</f>
        <v>0</v>
      </c>
      <c r="J113" s="238">
        <f>IFERROR(__xludf.DUMMYFUNCTION("IMPORTRANGE(""https://docs.google.com/spreadsheets/d/1SX6NBoVAgQJ6U1MVXOaj8PK2l7WJ3RER9xtqwdhxkhw/edit?usp=sharing"",""นครปฐม!J48"")"),0.0)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IFERROR(__xludf.DUMMYFUNCTION("IMPORTRANGE(""https://docs.google.com/spreadsheets/d/1SX6NBoVAgQJ6U1MVXOaj8PK2l7WJ3RER9xtqwdhxkhw/edit?usp=sharing"",""นครปฐม!J49"")"),0.0)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IFERROR(__xludf.DUMMYFUNCTION("IMPORTRANGE(""https://docs.google.com/spreadsheets/d/1SX6NBoVAgQJ6U1MVXOaj8PK2l7WJ3RER9xtqwdhxkhw/edit?usp=sharing"",""นครปฐม!J50"")"),0.0)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IFERROR(__xludf.DUMMYFUNCTION("IMPORTRANGE(""https://docs.google.com/spreadsheets/d/1SX6NBoVAgQJ6U1MVXOaj8PK2l7WJ3RER9xtqwdhxkhw/edit?usp=sharing"",""นครปฐม!I52"")"),0.0)</f>
        <v>0</v>
      </c>
      <c r="J117" s="172">
        <f>IFERROR(__xludf.DUMMYFUNCTION("IMPORTRANGE(""https://docs.google.com/spreadsheets/d/1SX6NBoVAgQJ6U1MVXOaj8PK2l7WJ3RER9xtqwdhxkhw/edit?usp=sharing"",""นครปฐม!J52"")"),0.0)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0">
        <f>IFERROR(__xludf.DUMMYFUNCTION("IMPORTRANGE(""https://docs.google.com/spreadsheets/d/1Yj_ptqi66GCucihVvJfMjLAmec39IyEx_6qawtMGysU/edit?usp=sharing"",""สบก!BA66"")"),0.0)</f>
        <v>0</v>
      </c>
      <c r="N122" s="203">
        <f>IFERROR(__xludf.DUMMYFUNCTION("IMPORTRANGE(""https://docs.google.com/spreadsheets/d/1Yj_ptqi66GCucihVvJfMjLAmec39IyEx_6qawtMGysU/edit?usp=sharing"",""สบก!BB66"")"),0.0)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0">
        <f>IFERROR(__xludf.DUMMYFUNCTION("IMPORTRANGE(""https://docs.google.com/spreadsheets/d/1Yj_ptqi66GCucihVvJfMjLAmec39IyEx_6qawtMGysU/edit?usp=sharing"",""สบก!AW66"")"),0.0)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0">
        <f>IFERROR(__xludf.DUMMYFUNCTION("IMPORTRANGE(""https://docs.google.com/spreadsheets/d/1Yj_ptqi66GCucihVvJfMjLAmec39IyEx_6qawtMGysU/edit?usp=sharing"",""สบก!AX66"")"),0.0)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62">
        <v>0.0</v>
      </c>
      <c r="M125" s="62"/>
      <c r="N125" s="62"/>
      <c r="O125" s="62"/>
      <c r="P125" s="62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70">
        <f>IFERROR(__xludf.DUMMYFUNCTION("IMPORTRANGE(""https://docs.google.com/spreadsheets/d/1Yj_ptqi66GCucihVvJfMjLAmec39IyEx_6qawtMGysU/edit?usp=sharing"",""สบก!AY66"")"),0.0)</f>
        <v>0</v>
      </c>
      <c r="M126" s="70"/>
      <c r="N126" s="70">
        <f>IFERROR(__xludf.DUMMYFUNCTION("IMPORTRANGE(""https://docs.google.com/spreadsheets/d/1Yj_ptqi66GCucihVvJfMjLAmec39IyEx_6qawtMGysU/edit?usp=sharing"",""สบก!BC66"")"),0.0)</f>
        <v>0</v>
      </c>
      <c r="O126" s="70">
        <f>IF(L126&gt;0,N126*100/L126,0)</f>
        <v>0</v>
      </c>
      <c r="P126" s="70"/>
    </row>
    <row r="127" ht="21.75" customHeight="1">
      <c r="A127" s="210"/>
      <c r="B127" s="211"/>
      <c r="C127" s="190" t="s">
        <v>17</v>
      </c>
      <c r="D127" s="267" t="s">
        <v>254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IFERROR(__xludf.DUMMYFUNCTION("IMPORTRANGE(""https://docs.google.com/spreadsheets/d/1SX6NBoVAgQJ6U1MVXOaj8PK2l7WJ3RER9xtqwdhxkhw/edit?usp=sharing"",""นครปฐม!J58"")"),0.0)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IFERROR(__xludf.DUMMYFUNCTION("IMPORTRANGE(""https://docs.google.com/spreadsheets/d/1SX6NBoVAgQJ6U1MVXOaj8PK2l7WJ3RER9xtqwdhxkhw/edit?usp=sharing"",""นครปฐม!J59"")"),0.0)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IFERROR(__xludf.DUMMYFUNCTION("IMPORTRANGE(""https://docs.google.com/spreadsheets/d/1SX6NBoVAgQJ6U1MVXOaj8PK2l7WJ3RER9xtqwdhxkhw/edit?usp=sharing"",""นครปฐม!J60"")"),0.0)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IFERROR(__xludf.DUMMYFUNCTION("IMPORTRANGE(""https://docs.google.com/spreadsheets/d/1SX6NBoVAgQJ6U1MVXOaj8PK2l7WJ3RER9xtqwdhxkhw/edit?usp=sharing"",""นครปฐม!J61"")"),0.0)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IFERROR(__xludf.DUMMYFUNCTION("IMPORTRANGE(""https://docs.google.com/spreadsheets/d/1SX6NBoVAgQJ6U1MVXOaj8PK2l7WJ3RER9xtqwdhxkhw/edit?usp=sharing"",""นครปฐม!I62"")"),0.0)</f>
        <v>0</v>
      </c>
      <c r="J132" s="238">
        <f>IFERROR(__xludf.DUMMYFUNCTION("IMPORTRANGE(""https://docs.google.com/spreadsheets/d/1SX6NBoVAgQJ6U1MVXOaj8PK2l7WJ3RER9xtqwdhxkhw/edit?usp=sharing"",""นครปฐม!J62"")"),0.0)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IFERROR(__xludf.DUMMYFUNCTION("IMPORTRANGE(""https://docs.google.com/spreadsheets/d/1SX6NBoVAgQJ6U1MVXOaj8PK2l7WJ3RER9xtqwdhxkhw/edit?usp=sharing"",""นครปฐม!I63"")"),0.0)</f>
        <v>0</v>
      </c>
      <c r="J133" s="238">
        <f>IFERROR(__xludf.DUMMYFUNCTION("IMPORTRANGE(""https://docs.google.com/spreadsheets/d/1SX6NBoVAgQJ6U1MVXOaj8PK2l7WJ3RER9xtqwdhxkhw/edit?usp=sharing"",""นครปฐม!J63"")"),0.0)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IFERROR(__xludf.DUMMYFUNCTION("IMPORTRANGE(""https://docs.google.com/spreadsheets/d/1SX6NBoVAgQJ6U1MVXOaj8PK2l7WJ3RER9xtqwdhxkhw/edit?usp=sharing"",""นครปฐม!J64"")"),0.0)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IFERROR(__xludf.DUMMYFUNCTION("IMPORTRANGE(""https://docs.google.com/spreadsheets/d/1SX6NBoVAgQJ6U1MVXOaj8PK2l7WJ3RER9xtqwdhxkhw/edit?usp=sharing"",""นครปฐม!J65"")"),0.0)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IFERROR(__xludf.DUMMYFUNCTION("IMPORTRANGE(""https://docs.google.com/spreadsheets/d/1SX6NBoVAgQJ6U1MVXOaj8PK2l7WJ3RER9xtqwdhxkhw/edit?usp=sharing"",""นครปฐม!I68"")"),20.0)</f>
        <v>20</v>
      </c>
      <c r="J138" s="301">
        <f>IFERROR(__xludf.DUMMYFUNCTION("IMPORTRANGE(""https://docs.google.com/spreadsheets/d/1SX6NBoVAgQJ6U1MVXOaj8PK2l7WJ3RER9xtqwdhxkhw/edit?usp=sharing"",""นครปฐม!J68"")"),0.0)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567900</v>
      </c>
      <c r="M140" s="183">
        <f t="shared" si="65"/>
        <v>313350</v>
      </c>
      <c r="N140" s="183">
        <f t="shared" si="65"/>
        <v>111546</v>
      </c>
      <c r="O140" s="182">
        <f t="shared" ref="O140:O142" si="67">IF(L140&gt;0,N140*100/L140,0)</f>
        <v>19.64183835</v>
      </c>
      <c r="P140" s="182">
        <f t="shared" ref="P140:P142" si="68">IF(M140&gt;0,N140*100/M140,0)</f>
        <v>35.59789373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567900</v>
      </c>
      <c r="M142" s="188">
        <f t="shared" si="69"/>
        <v>313350</v>
      </c>
      <c r="N142" s="188">
        <f t="shared" si="69"/>
        <v>111546</v>
      </c>
      <c r="O142" s="187">
        <f t="shared" si="67"/>
        <v>19.64183835</v>
      </c>
      <c r="P142" s="187">
        <f t="shared" si="68"/>
        <v>35.59789373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567900</v>
      </c>
      <c r="M144" s="200">
        <f>IFERROR(__xludf.DUMMYFUNCTION("IMPORTRANGE(""https://docs.google.com/spreadsheets/d/1Yj_ptqi66GCucihVvJfMjLAmec39IyEx_6qawtMGysU/edit?usp=sharing"",""สบก!BJ66"")"),313350.0)</f>
        <v>313350</v>
      </c>
      <c r="N144" s="203">
        <f>IFERROR(__xludf.DUMMYFUNCTION("IMPORTRANGE(""https://docs.google.com/spreadsheets/d/1Yj_ptqi66GCucihVvJfMjLAmec39IyEx_6qawtMGysU/edit?usp=sharing"",""สบก!BK66"")"),111546.0)</f>
        <v>111546</v>
      </c>
      <c r="O144" s="203">
        <f>IF(L144&gt;0,N144*100/L144,0)</f>
        <v>19.64183835</v>
      </c>
      <c r="P144" s="203">
        <f>IF(M144&gt;0,N144*100/M144,0)</f>
        <v>35.59789373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0">
        <f>IFERROR(__xludf.DUMMYFUNCTION("IMPORTRANGE(""https://docs.google.com/spreadsheets/d/1Yj_ptqi66GCucihVvJfMjLAmec39IyEx_6qawtMGysU/edit?usp=sharing"",""สบก!BF66"")"),310700.0)</f>
        <v>310700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0">
        <f>IFERROR(__xludf.DUMMYFUNCTION("IMPORTRANGE(""https://docs.google.com/spreadsheets/d/1Yj_ptqi66GCucihVvJfMjLAmec39IyEx_6qawtMGysU/edit?usp=sharing"",""สบก!BG66"")"),257200.0)</f>
        <v>257200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62">
        <v>0.0</v>
      </c>
      <c r="M147" s="62"/>
      <c r="N147" s="62"/>
      <c r="O147" s="62"/>
      <c r="P147" s="62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70">
        <f>IFERROR(__xludf.DUMMYFUNCTION("IMPORTRANGE(""https://docs.google.com/spreadsheets/d/1Yj_ptqi66GCucihVvJfMjLAmec39IyEx_6qawtMGysU/edit?usp=sharing"",""สบก!BH66"")"),0.0)</f>
        <v>0</v>
      </c>
      <c r="M148" s="70"/>
      <c r="N148" s="70">
        <f>IFERROR(__xludf.DUMMYFUNCTION("IMPORTRANGE(""https://docs.google.com/spreadsheets/d/1Yj_ptqi66GCucihVvJfMjLAmec39IyEx_6qawtMGysU/edit?usp=sharing"",""สบก!BL66"")"),0.0)</f>
        <v>0</v>
      </c>
      <c r="O148" s="70">
        <f>IF(L148&gt;0,N148*100/L148,0)</f>
        <v>0</v>
      </c>
      <c r="P148" s="70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IFERROR(__xludf.DUMMYFUNCTION("IMPORTRANGE(""https://docs.google.com/spreadsheets/d/1SX6NBoVAgQJ6U1MVXOaj8PK2l7WJ3RER9xtqwdhxkhw/edit?usp=sharing"",""นครปฐม!I74"")"),4.0)</f>
        <v>4</v>
      </c>
      <c r="J149" s="309">
        <f>IFERROR(__xludf.DUMMYFUNCTION("IMPORTRANGE(""https://docs.google.com/spreadsheets/d/1SX6NBoVAgQJ6U1MVXOaj8PK2l7WJ3RER9xtqwdhxkhw/edit?usp=sharing"",""นครปฐม!J74"")"),1.0)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IFERROR(__xludf.DUMMYFUNCTION("IMPORTRANGE(""https://docs.google.com/spreadsheets/d/1SX6NBoVAgQJ6U1MVXOaj8PK2l7WJ3RER9xtqwdhxkhw/edit?usp=sharing"",""นครปฐม!J79"")"),1.0)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IFERROR(__xludf.DUMMYFUNCTION("IMPORTRANGE(""https://docs.google.com/spreadsheets/d/1SX6NBoVAgQJ6U1MVXOaj8PK2l7WJ3RER9xtqwdhxkhw/edit?usp=sharing"",""นครปฐม!J80"")"),0.0)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IFERROR(__xludf.DUMMYFUNCTION("IMPORTRANGE(""https://docs.google.com/spreadsheets/d/1SX6NBoVAgQJ6U1MVXOaj8PK2l7WJ3RER9xtqwdhxkhw/edit?usp=sharing"",""นครปฐม!J81"")"),0.0)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IFERROR(__xludf.DUMMYFUNCTION("IMPORTRANGE(""https://docs.google.com/spreadsheets/d/1SX6NBoVAgQJ6U1MVXOaj8PK2l7WJ3RER9xtqwdhxkhw/edit?usp=sharing"",""นครปฐม!J82"")"),0.0)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IFERROR(__xludf.DUMMYFUNCTION("IMPORTRANGE(""https://docs.google.com/spreadsheets/d/1SX6NBoVAgQJ6U1MVXOaj8PK2l7WJ3RER9xtqwdhxkhw/edit?usp=sharing"",""นครปฐม!I83"")"),4.0)</f>
        <v>4</v>
      </c>
      <c r="J158" s="223">
        <f>IFERROR(__xludf.DUMMYFUNCTION("IMPORTRANGE(""https://docs.google.com/spreadsheets/d/1SX6NBoVAgQJ6U1MVXOaj8PK2l7WJ3RER9xtqwdhxkhw/edit?usp=sharing"",""นครปฐม!J83"")"),1.0)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IFERROR(__xludf.DUMMYFUNCTION("IMPORTRANGE(""https://docs.google.com/spreadsheets/d/1SX6NBoVAgQJ6U1MVXOaj8PK2l7WJ3RER9xtqwdhxkhw/edit?usp=sharing"",""นครปฐม!J84"")"),40.0)</f>
        <v>40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IFERROR(__xludf.DUMMYFUNCTION("IMPORTRANGE(""https://docs.google.com/spreadsheets/d/1SX6NBoVAgQJ6U1MVXOaj8PK2l7WJ3RER9xtqwdhxkhw/edit?usp=sharing"",""นครปฐม!J85"")"),40.0)</f>
        <v>40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IFERROR(__xludf.DUMMYFUNCTION("IMPORTRANGE(""https://docs.google.com/spreadsheets/d/1SX6NBoVAgQJ6U1MVXOaj8PK2l7WJ3RER9xtqwdhxkhw/edit?usp=sharing"",""นครปฐม!J86"")"),0.0)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IFERROR(__xludf.DUMMYFUNCTION("IMPORTRANGE(""https://docs.google.com/spreadsheets/d/1SX6NBoVAgQJ6U1MVXOaj8PK2l7WJ3RER9xtqwdhxkhw/edit?usp=sharing"",""นครปฐม!J87"")"),0.0)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IFERROR(__xludf.DUMMYFUNCTION("IMPORTRANGE(""https://docs.google.com/spreadsheets/d/1SX6NBoVAgQJ6U1MVXOaj8PK2l7WJ3RER9xtqwdhxkhw/edit?usp=sharing"",""นครปฐม!J88"")"),0.0)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IFERROR(__xludf.DUMMYFUNCTION("IMPORTRANGE(""https://docs.google.com/spreadsheets/d/1SX6NBoVAgQJ6U1MVXOaj8PK2l7WJ3RER9xtqwdhxkhw/edit?usp=sharing"",""นครปฐม!I89"")"),3.0)</f>
        <v>3</v>
      </c>
      <c r="J164" s="317">
        <f>IFERROR(__xludf.DUMMYFUNCTION("IMPORTRANGE(""https://docs.google.com/spreadsheets/d/1SX6NBoVAgQJ6U1MVXOaj8PK2l7WJ3RER9xtqwdhxkhw/edit?usp=sharing"",""นครปฐม!J89"")"),0.0)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IFERROR(__xludf.DUMMYFUNCTION("IMPORTRANGE(""https://docs.google.com/spreadsheets/d/1SX6NBoVAgQJ6U1MVXOaj8PK2l7WJ3RER9xtqwdhxkhw/edit?usp=sharing"",""นครปฐม!J94"")"),0.0)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IFERROR(__xludf.DUMMYFUNCTION("IMPORTRANGE(""https://docs.google.com/spreadsheets/d/1SX6NBoVAgQJ6U1MVXOaj8PK2l7WJ3RER9xtqwdhxkhw/edit?usp=sharing"",""นครปฐม!J95"")"),1.0)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IFERROR(__xludf.DUMMYFUNCTION("IMPORTRANGE(""https://docs.google.com/spreadsheets/d/1SX6NBoVAgQJ6U1MVXOaj8PK2l7WJ3RER9xtqwdhxkhw/edit?usp=sharing"",""นครปฐม!J96"")"),1.0)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IFERROR(__xludf.DUMMYFUNCTION("IMPORTRANGE(""https://docs.google.com/spreadsheets/d/1SX6NBoVAgQJ6U1MVXOaj8PK2l7WJ3RER9xtqwdhxkhw/edit?usp=sharing"",""นครปฐม!J97"")"),1.0)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IFERROR(__xludf.DUMMYFUNCTION("IMPORTRANGE(""https://docs.google.com/spreadsheets/d/1SX6NBoVAgQJ6U1MVXOaj8PK2l7WJ3RER9xtqwdhxkhw/edit?usp=sharing"",""นครปฐม!I98"")"),3.0)</f>
        <v>3</v>
      </c>
      <c r="J173" s="223">
        <f>IFERROR(__xludf.DUMMYFUNCTION("IMPORTRANGE(""https://docs.google.com/spreadsheets/d/1SX6NBoVAgQJ6U1MVXOaj8PK2l7WJ3RER9xtqwdhxkhw/edit?usp=sharing"",""นครปฐม!J98"")"),0.0)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IFERROR(__xludf.DUMMYFUNCTION("IMPORTRANGE(""https://docs.google.com/spreadsheets/d/1SX6NBoVAgQJ6U1MVXOaj8PK2l7WJ3RER9xtqwdhxkhw/edit?usp=sharing"",""นครปฐม!J99"")"),0.0)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IFERROR(__xludf.DUMMYFUNCTION("IMPORTRANGE(""https://docs.google.com/spreadsheets/d/1SX6NBoVAgQJ6U1MVXOaj8PK2l7WJ3RER9xtqwdhxkhw/edit?usp=sharing"",""นครปฐม!J100"")"),0.0)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IFERROR(__xludf.DUMMYFUNCTION("IMPORTRANGE(""https://docs.google.com/spreadsheets/d/1SX6NBoVAgQJ6U1MVXOaj8PK2l7WJ3RER9xtqwdhxkhw/edit?usp=sharing"",""นครปฐม!I101"")"),0.0)</f>
        <v>0</v>
      </c>
      <c r="J176" s="317">
        <f>IFERROR(__xludf.DUMMYFUNCTION("IMPORTRANGE(""https://docs.google.com/spreadsheets/d/1SX6NBoVAgQJ6U1MVXOaj8PK2l7WJ3RER9xtqwdhxkhw/edit?usp=sharing"",""นครปฐม!J101"")"),0.0)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IFERROR(__xludf.DUMMYFUNCTION("IMPORTRANGE(""https://docs.google.com/spreadsheets/d/1SX6NBoVAgQJ6U1MVXOaj8PK2l7WJ3RER9xtqwdhxkhw/edit?usp=sharing"",""นครปฐม!J106"")"),0.0)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IFERROR(__xludf.DUMMYFUNCTION("IMPORTRANGE(""https://docs.google.com/spreadsheets/d/1SX6NBoVAgQJ6U1MVXOaj8PK2l7WJ3RER9xtqwdhxkhw/edit?usp=sharing"",""นครปฐม!J107"")"),0.0)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IFERROR(__xludf.DUMMYFUNCTION("IMPORTRANGE(""https://docs.google.com/spreadsheets/d/1SX6NBoVAgQJ6U1MVXOaj8PK2l7WJ3RER9xtqwdhxkhw/edit?usp=sharing"",""นครปฐม!J108"")"),0.0)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IFERROR(__xludf.DUMMYFUNCTION("IMPORTRANGE(""https://docs.google.com/spreadsheets/d/1SX6NBoVAgQJ6U1MVXOaj8PK2l7WJ3RER9xtqwdhxkhw/edit?usp=sharing"",""นครปฐม!J109"")"),0.0)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IFERROR(__xludf.DUMMYFUNCTION("IMPORTRANGE(""https://docs.google.com/spreadsheets/d/1SX6NBoVAgQJ6U1MVXOaj8PK2l7WJ3RER9xtqwdhxkhw/edit?usp=sharing"",""นครปฐม!I110"")"),0.0)</f>
        <v>0</v>
      </c>
      <c r="J185" s="238">
        <f>IFERROR(__xludf.DUMMYFUNCTION("IMPORTRANGE(""https://docs.google.com/spreadsheets/d/1SX6NBoVAgQJ6U1MVXOaj8PK2l7WJ3RER9xtqwdhxkhw/edit?usp=sharing"",""นครปฐม!J110"")"),0.0)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IFERROR(__xludf.DUMMYFUNCTION("IMPORTRANGE(""https://docs.google.com/spreadsheets/d/1SX6NBoVAgQJ6U1MVXOaj8PK2l7WJ3RER9xtqwdhxkhw/edit?usp=sharing"",""นครปฐม!I111"")"),0.0)</f>
        <v>0</v>
      </c>
      <c r="J186" s="238">
        <f>IFERROR(__xludf.DUMMYFUNCTION("IMPORTRANGE(""https://docs.google.com/spreadsheets/d/1SX6NBoVAgQJ6U1MVXOaj8PK2l7WJ3RER9xtqwdhxkhw/edit?usp=sharing"",""นครปฐม!J111"")"),0.0)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IFERROR(__xludf.DUMMYFUNCTION("IMPORTRANGE(""https://docs.google.com/spreadsheets/d/1SX6NBoVAgQJ6U1MVXOaj8PK2l7WJ3RER9xtqwdhxkhw/edit?usp=sharing"",""นครปฐม!J112"")"),0.0)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IFERROR(__xludf.DUMMYFUNCTION("IMPORTRANGE(""https://docs.google.com/spreadsheets/d/1SX6NBoVAgQJ6U1MVXOaj8PK2l7WJ3RER9xtqwdhxkhw/edit?usp=sharing"",""นครปฐม!J113"")"),0.0)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IFERROR(__xludf.DUMMYFUNCTION("IMPORTRANGE(""https://docs.google.com/spreadsheets/d/1SX6NBoVAgQJ6U1MVXOaj8PK2l7WJ3RER9xtqwdhxkhw/edit?usp=sharing"",""นครปฐม!I114"")"),5000.0)</f>
        <v>5000</v>
      </c>
      <c r="J189" s="317">
        <f>IFERROR(__xludf.DUMMYFUNCTION("IMPORTRANGE(""https://docs.google.com/spreadsheets/d/1SX6NBoVAgQJ6U1MVXOaj8PK2l7WJ3RER9xtqwdhxkhw/edit?usp=sharing"",""นครปฐม!J114"")"),0.0)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IFERROR(__xludf.DUMMYFUNCTION("IMPORTRANGE(""https://docs.google.com/spreadsheets/d/1SX6NBoVAgQJ6U1MVXOaj8PK2l7WJ3RER9xtqwdhxkhw/edit?usp=sharing"",""นครปฐม!J119"")"),0.0)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IFERROR(__xludf.DUMMYFUNCTION("IMPORTRANGE(""https://docs.google.com/spreadsheets/d/1SX6NBoVAgQJ6U1MVXOaj8PK2l7WJ3RER9xtqwdhxkhw/edit?usp=sharing"",""นครปฐม!J120"")"),1.0)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IFERROR(__xludf.DUMMYFUNCTION("IMPORTRANGE(""https://docs.google.com/spreadsheets/d/1SX6NBoVAgQJ6U1MVXOaj8PK2l7WJ3RER9xtqwdhxkhw/edit?usp=sharing"",""นครปฐม!J121"")"),1.0)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IFERROR(__xludf.DUMMYFUNCTION("IMPORTRANGE(""https://docs.google.com/spreadsheets/d/1SX6NBoVAgQJ6U1MVXOaj8PK2l7WJ3RER9xtqwdhxkhw/edit?usp=sharing"",""นครปฐม!J122"")"),1.0)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IFERROR(__xludf.DUMMYFUNCTION("IMPORTRANGE(""https://docs.google.com/spreadsheets/d/1SX6NBoVAgQJ6U1MVXOaj8PK2l7WJ3RER9xtqwdhxkhw/edit?usp=sharing"",""นครปฐม!I124"")"),5000.0)</f>
        <v>5000</v>
      </c>
      <c r="J199" s="223">
        <f>IFERROR(__xludf.DUMMYFUNCTION("IMPORTRANGE(""https://docs.google.com/spreadsheets/d/1SX6NBoVAgQJ6U1MVXOaj8PK2l7WJ3RER9xtqwdhxkhw/edit?usp=sharing"",""นครปฐม!J124"")"),0.0)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IFERROR(__xludf.DUMMYFUNCTION("IMPORTRANGE(""https://docs.google.com/spreadsheets/d/1SX6NBoVAgQJ6U1MVXOaj8PK2l7WJ3RER9xtqwdhxkhw/edit?usp=sharing"",""นครปฐม!I125"")"),5000.0)</f>
        <v>5000</v>
      </c>
      <c r="J200" s="223">
        <f>IFERROR(__xludf.DUMMYFUNCTION("IMPORTRANGE(""https://docs.google.com/spreadsheets/d/1SX6NBoVAgQJ6U1MVXOaj8PK2l7WJ3RER9xtqwdhxkhw/edit?usp=sharing"",""นครปฐม!J125"")"),0.0)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IFERROR(__xludf.DUMMYFUNCTION("IMPORTRANGE(""https://docs.google.com/spreadsheets/d/1SX6NBoVAgQJ6U1MVXOaj8PK2l7WJ3RER9xtqwdhxkhw/edit?usp=sharing"",""นครปฐม!I126"")"),0.0)</f>
        <v>0</v>
      </c>
      <c r="J201" s="223">
        <f>IFERROR(__xludf.DUMMYFUNCTION("IMPORTRANGE(""https://docs.google.com/spreadsheets/d/1SX6NBoVAgQJ6U1MVXOaj8PK2l7WJ3RER9xtqwdhxkhw/edit?usp=sharing"",""นครปฐม!J126"")"),0.0)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IFERROR(__xludf.DUMMYFUNCTION("IMPORTRANGE(""https://docs.google.com/spreadsheets/d/1SX6NBoVAgQJ6U1MVXOaj8PK2l7WJ3RER9xtqwdhxkhw/edit?usp=sharing"",""นครปฐม!J127"")"),0.0)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IFERROR(__xludf.DUMMYFUNCTION("IMPORTRANGE(""https://docs.google.com/spreadsheets/d/1SX6NBoVAgQJ6U1MVXOaj8PK2l7WJ3RER9xtqwdhxkhw/edit?usp=sharing"",""นครปฐม!J128"")"),0.0)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IFERROR(__xludf.DUMMYFUNCTION("IMPORTRANGE(""https://docs.google.com/spreadsheets/d/1SX6NBoVAgQJ6U1MVXOaj8PK2l7WJ3RER9xtqwdhxkhw/edit?usp=sharing"",""นครปฐม!I129"")"),20.0)</f>
        <v>20</v>
      </c>
      <c r="J204" s="317">
        <f>IFERROR(__xludf.DUMMYFUNCTION("IMPORTRANGE(""https://docs.google.com/spreadsheets/d/1SX6NBoVAgQJ6U1MVXOaj8PK2l7WJ3RER9xtqwdhxkhw/edit?usp=sharing"",""นครปฐม!J129"")"),0.0)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IFERROR(__xludf.DUMMYFUNCTION("IMPORTRANGE(""https://docs.google.com/spreadsheets/d/1SX6NBoVAgQJ6U1MVXOaj8PK2l7WJ3RER9xtqwdhxkhw/edit?usp=sharing"",""นครปฐม!J134"")"),0.0)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IFERROR(__xludf.DUMMYFUNCTION("IMPORTRANGE(""https://docs.google.com/spreadsheets/d/1SX6NBoVAgQJ6U1MVXOaj8PK2l7WJ3RER9xtqwdhxkhw/edit?usp=sharing"",""นครปฐม!J135"")"),1.0)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IFERROR(__xludf.DUMMYFUNCTION("IMPORTRANGE(""https://docs.google.com/spreadsheets/d/1SX6NBoVAgQJ6U1MVXOaj8PK2l7WJ3RER9xtqwdhxkhw/edit?usp=sharing"",""นครปฐม!J136"")"),1.0)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IFERROR(__xludf.DUMMYFUNCTION("IMPORTRANGE(""https://docs.google.com/spreadsheets/d/1SX6NBoVAgQJ6U1MVXOaj8PK2l7WJ3RER9xtqwdhxkhw/edit?usp=sharing"",""นครปฐม!J137"")"),1.0)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IFERROR(__xludf.DUMMYFUNCTION("IMPORTRANGE(""https://docs.google.com/spreadsheets/d/1SX6NBoVAgQJ6U1MVXOaj8PK2l7WJ3RER9xtqwdhxkhw/edit?usp=sharing"",""นครปฐม!I138"")"),20.0)</f>
        <v>20</v>
      </c>
      <c r="J213" s="238">
        <f>IFERROR(__xludf.DUMMYFUNCTION("IMPORTRANGE(""https://docs.google.com/spreadsheets/d/1SX6NBoVAgQJ6U1MVXOaj8PK2l7WJ3RER9xtqwdhxkhw/edit?usp=sharing"",""นครปฐม!J138"")"),0.0)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IFERROR(__xludf.DUMMYFUNCTION("IMPORTRANGE(""https://docs.google.com/spreadsheets/d/1SX6NBoVAgQJ6U1MVXOaj8PK2l7WJ3RER9xtqwdhxkhw/edit?usp=sharing"",""นครปฐม!I140"")"),0.0)</f>
        <v>0</v>
      </c>
      <c r="J215" s="238">
        <f>IFERROR(__xludf.DUMMYFUNCTION("IMPORTRANGE(""https://docs.google.com/spreadsheets/d/1SX6NBoVAgQJ6U1MVXOaj8PK2l7WJ3RER9xtqwdhxkhw/edit?usp=sharing"",""นครปฐม!J140"")"),0.0)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IFERROR(__xludf.DUMMYFUNCTION("IMPORTRANGE(""https://docs.google.com/spreadsheets/d/1SX6NBoVAgQJ6U1MVXOaj8PK2l7WJ3RER9xtqwdhxkhw/edit?usp=sharing"",""นครปฐม!I141"")"),1.0)</f>
        <v>1</v>
      </c>
      <c r="J216" s="238">
        <f>IFERROR(__xludf.DUMMYFUNCTION("IMPORTRANGE(""https://docs.google.com/spreadsheets/d/1SX6NBoVAgQJ6U1MVXOaj8PK2l7WJ3RER9xtqwdhxkhw/edit?usp=sharing"",""นครปฐม!J141"")"),0.0)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IFERROR(__xludf.DUMMYFUNCTION("IMPORTRANGE(""https://docs.google.com/spreadsheets/d/1SX6NBoVAgQJ6U1MVXOaj8PK2l7WJ3RER9xtqwdhxkhw/edit?usp=sharing"",""นครปฐม!J142"")"),0.0)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IFERROR(__xludf.DUMMYFUNCTION("IMPORTRANGE(""https://docs.google.com/spreadsheets/d/1SX6NBoVAgQJ6U1MVXOaj8PK2l7WJ3RER9xtqwdhxkhw/edit?usp=sharing"",""นครปฐม!J143"")"),0.0)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IFERROR(__xludf.DUMMYFUNCTION("IMPORTRANGE(""https://docs.google.com/spreadsheets/d/1SX6NBoVAgQJ6U1MVXOaj8PK2l7WJ3RER9xtqwdhxkhw/edit?usp=sharing"",""นครปฐม!I144"")"),13.0)</f>
        <v>13</v>
      </c>
      <c r="J219" s="301">
        <f>IFERROR(__xludf.DUMMYFUNCTION("IMPORTRANGE(""https://docs.google.com/spreadsheets/d/1SX6NBoVAgQJ6U1MVXOaj8PK2l7WJ3RER9xtqwdhxkhw/edit?usp=sharing"",""นครปฐม!J144"")"),13.0)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0">
        <f>IFERROR(__xludf.DUMMYFUNCTION("IMPORTRANGE(""https://docs.google.com/spreadsheets/d/1Yj_ptqi66GCucihVvJfMjLAmec39IyEx_6qawtMGysU/edit?usp=sharing"",""สบก!BS66"")"),19295.0)</f>
        <v>19295</v>
      </c>
      <c r="N224" s="203">
        <f>IFERROR(__xludf.DUMMYFUNCTION("IMPORTRANGE(""https://docs.google.com/spreadsheets/d/1Yj_ptqi66GCucihVvJfMjLAmec39IyEx_6qawtMGysU/edit?usp=sharing"",""สบก!BT66"")"),19295.0)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0">
        <f>IFERROR(__xludf.DUMMYFUNCTION("IMPORTRANGE(""https://docs.google.com/spreadsheets/d/1Yj_ptqi66GCucihVvJfMjLAmec39IyEx_6qawtMGysU/edit?usp=sharing"",""สบก!BO66"")"),0.0)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0">
        <f>IFERROR(__xludf.DUMMYFUNCTION("IMPORTRANGE(""https://docs.google.com/spreadsheets/d/1Yj_ptqi66GCucihVvJfMjLAmec39IyEx_6qawtMGysU/edit?usp=sharing"",""สบก!BP66"")"),19295.0)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62">
        <v>0.0</v>
      </c>
      <c r="M227" s="62"/>
      <c r="N227" s="62"/>
      <c r="O227" s="62"/>
      <c r="P227" s="62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70">
        <f>IFERROR(__xludf.DUMMYFUNCTION("IMPORTRANGE(""https://docs.google.com/spreadsheets/d/1Yj_ptqi66GCucihVvJfMjLAmec39IyEx_6qawtMGysU/edit?usp=sharing"",""สบก!BQ66"")"),0.0)</f>
        <v>0</v>
      </c>
      <c r="M228" s="70"/>
      <c r="N228" s="70">
        <f>IFERROR(__xludf.DUMMYFUNCTION("IMPORTRANGE(""https://docs.google.com/spreadsheets/d/1Yj_ptqi66GCucihVvJfMjLAmec39IyEx_6qawtMGysU/edit?usp=sharing"",""สบก!BU66"")"),0.0)</f>
        <v>0</v>
      </c>
      <c r="O228" s="70">
        <f>IF(L228&gt;0,N228*100/L228,0)</f>
        <v>0</v>
      </c>
      <c r="P228" s="70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IFERROR(__xludf.DUMMYFUNCTION("IMPORTRANGE(""https://docs.google.com/spreadsheets/d/1SX6NBoVAgQJ6U1MVXOaj8PK2l7WJ3RER9xtqwdhxkhw/edit?usp=sharing"",""นครปฐม!I149"")"),13.0)</f>
        <v>13</v>
      </c>
      <c r="J229" s="301">
        <f>IFERROR(__xludf.DUMMYFUNCTION("IMPORTRANGE(""https://docs.google.com/spreadsheets/d/1SX6NBoVAgQJ6U1MVXOaj8PK2l7WJ3RER9xtqwdhxkhw/edit?usp=sharing"",""นครปฐม!J149"")"),13.0)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IFERROR(__xludf.DUMMYFUNCTION("IMPORTRANGE(""https://docs.google.com/spreadsheets/d/1SX6NBoVAgQJ6U1MVXOaj8PK2l7WJ3RER9xtqwdhxkhw/edit?usp=sharing"",""นครปฐม!J151"")"),0.0)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IFERROR(__xludf.DUMMYFUNCTION("IMPORTRANGE(""https://docs.google.com/spreadsheets/d/1SX6NBoVAgQJ6U1MVXOaj8PK2l7WJ3RER9xtqwdhxkhw/edit?usp=sharing"",""นครปฐม!J152"")"),1.0)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IFERROR(__xludf.DUMMYFUNCTION("IMPORTRANGE(""https://docs.google.com/spreadsheets/d/1SX6NBoVAgQJ6U1MVXOaj8PK2l7WJ3RER9xtqwdhxkhw/edit?usp=sharing"",""นครปฐม!J153"")"),1.0)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IFERROR(__xludf.DUMMYFUNCTION("IMPORTRANGE(""https://docs.google.com/spreadsheets/d/1SX6NBoVAgQJ6U1MVXOaj8PK2l7WJ3RER9xtqwdhxkhw/edit?usp=sharing"",""นครปฐม!J154"")"),1.0)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IFERROR(__xludf.DUMMYFUNCTION("IMPORTRANGE(""https://docs.google.com/spreadsheets/d/1SX6NBoVAgQJ6U1MVXOaj8PK2l7WJ3RER9xtqwdhxkhw/edit?usp=sharing"",""นครปฐม!I155"")"),13.0)</f>
        <v>13</v>
      </c>
      <c r="J235" s="223">
        <f>IFERROR(__xludf.DUMMYFUNCTION("IMPORTRANGE(""https://docs.google.com/spreadsheets/d/1SX6NBoVAgQJ6U1MVXOaj8PK2l7WJ3RER9xtqwdhxkhw/edit?usp=sharing"",""นครปฐม!J155"")"),13.0)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IFERROR(__xludf.DUMMYFUNCTION("IMPORTRANGE(""https://docs.google.com/spreadsheets/d/1SX6NBoVAgQJ6U1MVXOaj8PK2l7WJ3RER9xtqwdhxkhw/edit?usp=sharing"",""นครปฐม!J156"")"),0.0)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IFERROR(__xludf.DUMMYFUNCTION("IMPORTRANGE(""https://docs.google.com/spreadsheets/d/1SX6NBoVAgQJ6U1MVXOaj8PK2l7WJ3RER9xtqwdhxkhw/edit?usp=sharing"",""นครปฐม!J157"")"),0.0)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IFERROR(__xludf.DUMMYFUNCTION("IMPORTRANGE(""https://docs.google.com/spreadsheets/d/1SX6NBoVAgQJ6U1MVXOaj8PK2l7WJ3RER9xtqwdhxkhw/edit?usp=sharing"",""นครปฐม!I158"")"),0.0)</f>
        <v>0</v>
      </c>
      <c r="J238" s="301">
        <f>IFERROR(__xludf.DUMMYFUNCTION("IMPORTRANGE(""https://docs.google.com/spreadsheets/d/1SX6NBoVAgQJ6U1MVXOaj8PK2l7WJ3RER9xtqwdhxkhw/edit?usp=sharing"",""นครปฐม!J158"")"),0.0)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IFERROR(__xludf.DUMMYFUNCTION("IMPORTRANGE(""https://docs.google.com/spreadsheets/d/1SX6NBoVAgQJ6U1MVXOaj8PK2l7WJ3RER9xtqwdhxkhw/edit?usp=sharing"",""นครปฐม!J159"")"),"")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IFERROR(__xludf.DUMMYFUNCTION("IMPORTRANGE(""https://docs.google.com/spreadsheets/d/1SX6NBoVAgQJ6U1MVXOaj8PK2l7WJ3RER9xtqwdhxkhw/edit?usp=sharing"",""นครปฐม!J161"")"),0.0)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IFERROR(__xludf.DUMMYFUNCTION("IMPORTRANGE(""https://docs.google.com/spreadsheets/d/1SX6NBoVAgQJ6U1MVXOaj8PK2l7WJ3RER9xtqwdhxkhw/edit?usp=sharing"",""นครปฐม!J162"")"),0.0)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IFERROR(__xludf.DUMMYFUNCTION("IMPORTRANGE(""https://docs.google.com/spreadsheets/d/1SX6NBoVAgQJ6U1MVXOaj8PK2l7WJ3RER9xtqwdhxkhw/edit?usp=sharing"",""นครปฐม!J163"")"),0.0)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IFERROR(__xludf.DUMMYFUNCTION("IMPORTRANGE(""https://docs.google.com/spreadsheets/d/1SX6NBoVAgQJ6U1MVXOaj8PK2l7WJ3RER9xtqwdhxkhw/edit?usp=sharing"",""นครปฐม!I164"")"),0.0)</f>
        <v>0</v>
      </c>
      <c r="J244" s="222">
        <f>IFERROR(__xludf.DUMMYFUNCTION("IMPORTRANGE(""https://docs.google.com/spreadsheets/d/1SX6NBoVAgQJ6U1MVXOaj8PK2l7WJ3RER9xtqwdhxkhw/edit?usp=sharing"",""นครปฐม!J164"")"),0.0)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IFERROR(__xludf.DUMMYFUNCTION("IMPORTRANGE(""https://docs.google.com/spreadsheets/d/1SX6NBoVAgQJ6U1MVXOaj8PK2l7WJ3RER9xtqwdhxkhw/edit?usp=sharing"",""นครปฐม!J165"")"),0.0)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IFERROR(__xludf.DUMMYFUNCTION("IMPORTRANGE(""https://docs.google.com/spreadsheets/d/1SX6NBoVAgQJ6U1MVXOaj8PK2l7WJ3RER9xtqwdhxkhw/edit?usp=sharing"",""นครปฐม!J166"")"),0.0)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IFERROR(__xludf.DUMMYFUNCTION("IMPORTRANGE(""https://docs.google.com/spreadsheets/d/1SX6NBoVAgQJ6U1MVXOaj8PK2l7WJ3RER9xtqwdhxkhw/edit?usp=sharing"",""นครปฐม!I169"")"),0.0)</f>
        <v>0</v>
      </c>
      <c r="J249" s="349">
        <f>IFERROR(__xludf.DUMMYFUNCTION("IMPORTRANGE(""https://docs.google.com/spreadsheets/d/1SX6NBoVAgQJ6U1MVXOaj8PK2l7WJ3RER9xtqwdhxkhw/edit?usp=sharing"",""นครปฐม!J169"")"),0.0)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0">
        <f>IFERROR(__xludf.DUMMYFUNCTION("IMPORTRANGE(""https://docs.google.com/spreadsheets/d/1Yj_ptqi66GCucihVvJfMjLAmec39IyEx_6qawtMGysU/edit?usp=sharing"",""สบก!CB66"")"),0.0)</f>
        <v>0</v>
      </c>
      <c r="N254" s="203">
        <f>IFERROR(__xludf.DUMMYFUNCTION("IMPORTRANGE(""https://docs.google.com/spreadsheets/d/1Yj_ptqi66GCucihVvJfMjLAmec39IyEx_6qawtMGysU/edit?usp=sharing"",""สบก!CC66"")"),0.0)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0">
        <f>IFERROR(__xludf.DUMMYFUNCTION("IMPORTRANGE(""https://docs.google.com/spreadsheets/d/1Yj_ptqi66GCucihVvJfMjLAmec39IyEx_6qawtMGysU/edit?usp=sharing"",""สบก!BX66"")"),0.0)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0">
        <f>IFERROR(__xludf.DUMMYFUNCTION("IMPORTRANGE(""https://docs.google.com/spreadsheets/d/1Yj_ptqi66GCucihVvJfMjLAmec39IyEx_6qawtMGysU/edit?usp=sharing"",""สบก!BY66"")"),0.0)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62">
        <v>0.0</v>
      </c>
      <c r="M257" s="62"/>
      <c r="N257" s="62"/>
      <c r="O257" s="62"/>
      <c r="P257" s="62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70">
        <f>IFERROR(__xludf.DUMMYFUNCTION("IMPORTRANGE(""https://docs.google.com/spreadsheets/d/1Yj_ptqi66GCucihVvJfMjLAmec39IyEx_6qawtMGysU/edit?usp=sharing"",""สบก!BZ66"")"),0.0)</f>
        <v>0</v>
      </c>
      <c r="M258" s="70"/>
      <c r="N258" s="70">
        <f>IFERROR(__xludf.DUMMYFUNCTION("IMPORTRANGE(""https://docs.google.com/spreadsheets/d/1Yj_ptqi66GCucihVvJfMjLAmec39IyEx_6qawtMGysU/edit?usp=sharing"",""สบก!CD66"")"),0.0)</f>
        <v>0</v>
      </c>
      <c r="O258" s="70">
        <f>IF(L258&gt;0,N258*100/L258,0)</f>
        <v>0</v>
      </c>
      <c r="P258" s="70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IFERROR(__xludf.DUMMYFUNCTION("IMPORTRANGE(""https://docs.google.com/spreadsheets/d/1SX6NBoVAgQJ6U1MVXOaj8PK2l7WJ3RER9xtqwdhxkhw/edit?usp=sharing"",""นครปฐม!J175"")"),0.0)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IFERROR(__xludf.DUMMYFUNCTION("IMPORTRANGE(""https://docs.google.com/spreadsheets/d/1SX6NBoVAgQJ6U1MVXOaj8PK2l7WJ3RER9xtqwdhxkhw/edit?usp=sharing"",""นครปฐม!J176"")"),0.0)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IFERROR(__xludf.DUMMYFUNCTION("IMPORTRANGE(""https://docs.google.com/spreadsheets/d/1SX6NBoVAgQJ6U1MVXOaj8PK2l7WJ3RER9xtqwdhxkhw/edit?usp=sharing"",""นครปฐม!J177"")"),0.0)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IFERROR(__xludf.DUMMYFUNCTION("IMPORTRANGE(""https://docs.google.com/spreadsheets/d/1SX6NBoVAgQJ6U1MVXOaj8PK2l7WJ3RER9xtqwdhxkhw/edit?usp=sharing"",""นครปฐม!J178"")"),0.0)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IFERROR(__xludf.DUMMYFUNCTION("IMPORTRANGE(""https://docs.google.com/spreadsheets/d/1SX6NBoVAgQJ6U1MVXOaj8PK2l7WJ3RER9xtqwdhxkhw/edit?usp=sharing"",""นครปฐม!I179"")"),0.0)</f>
        <v>0</v>
      </c>
      <c r="J264" s="223">
        <f>IFERROR(__xludf.DUMMYFUNCTION("IMPORTRANGE(""https://docs.google.com/spreadsheets/d/1SX6NBoVAgQJ6U1MVXOaj8PK2l7WJ3RER9xtqwdhxkhw/edit?usp=sharing"",""นครปฐม!J179"")"),0.0)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IFERROR(__xludf.DUMMYFUNCTION("IMPORTRANGE(""https://docs.google.com/spreadsheets/d/1SX6NBoVAgQJ6U1MVXOaj8PK2l7WJ3RER9xtqwdhxkhw/edit?usp=sharing"",""นครปฐม!I180"")"),0.0)</f>
        <v>0</v>
      </c>
      <c r="J265" s="223">
        <f>IFERROR(__xludf.DUMMYFUNCTION("IMPORTRANGE(""https://docs.google.com/spreadsheets/d/1SX6NBoVAgQJ6U1MVXOaj8PK2l7WJ3RER9xtqwdhxkhw/edit?usp=sharing"",""นครปฐม!J180"")"),0.0)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IFERROR(__xludf.DUMMYFUNCTION("IMPORTRANGE(""https://docs.google.com/spreadsheets/d/1SX6NBoVAgQJ6U1MVXOaj8PK2l7WJ3RER9xtqwdhxkhw/edit?usp=sharing"",""นครปฐม!I181"")"),0.0)</f>
        <v>0</v>
      </c>
      <c r="J266" s="223">
        <f>IFERROR(__xludf.DUMMYFUNCTION("IMPORTRANGE(""https://docs.google.com/spreadsheets/d/1SX6NBoVAgQJ6U1MVXOaj8PK2l7WJ3RER9xtqwdhxkhw/edit?usp=sharing"",""นครปฐม!J181"")"),0.0)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IFERROR(__xludf.DUMMYFUNCTION("IMPORTRANGE(""https://docs.google.com/spreadsheets/d/1SX6NBoVAgQJ6U1MVXOaj8PK2l7WJ3RER9xtqwdhxkhw/edit?usp=sharing"",""นครปฐม!I182"")"),0.0)</f>
        <v>0</v>
      </c>
      <c r="J267" s="223">
        <f>IFERROR(__xludf.DUMMYFUNCTION("IMPORTRANGE(""https://docs.google.com/spreadsheets/d/1SX6NBoVAgQJ6U1MVXOaj8PK2l7WJ3RER9xtqwdhxkhw/edit?usp=sharing"",""นครปฐม!J182"")"),0.0)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IFERROR(__xludf.DUMMYFUNCTION("IMPORTRANGE(""https://docs.google.com/spreadsheets/d/1SX6NBoVAgQJ6U1MVXOaj8PK2l7WJ3RER9xtqwdhxkhw/edit?usp=sharing"",""นครปฐม!J183"")"),0.0)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IFERROR(__xludf.DUMMYFUNCTION("IMPORTRANGE(""https://docs.google.com/spreadsheets/d/1SX6NBoVAgQJ6U1MVXOaj8PK2l7WJ3RER9xtqwdhxkhw/edit?usp=sharing"",""นครปฐม!J184"")"),0.0)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IFERROR(__xludf.DUMMYFUNCTION("IMPORTRANGE(""https://docs.google.com/spreadsheets/d/1SX6NBoVAgQJ6U1MVXOaj8PK2l7WJ3RER9xtqwdhxkhw/edit?usp=sharing"",""นครปฐม!I185"")"),0.0)</f>
        <v>0</v>
      </c>
      <c r="J270" s="349">
        <f>IFERROR(__xludf.DUMMYFUNCTION("IMPORTRANGE(""https://docs.google.com/spreadsheets/d/1SX6NBoVAgQJ6U1MVXOaj8PK2l7WJ3RER9xtqwdhxkhw/edit?usp=sharing"",""นครปฐม!J185"")"),0.0)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0">
        <f>IFERROR(__xludf.DUMMYFUNCTION("IMPORTRANGE(""https://docs.google.com/spreadsheets/d/1Yj_ptqi66GCucihVvJfMjLAmec39IyEx_6qawtMGysU/edit?usp=sharing"",""สบก!CK66"")"),0.0)</f>
        <v>0</v>
      </c>
      <c r="N275" s="203">
        <f>IFERROR(__xludf.DUMMYFUNCTION("IMPORTRANGE(""https://docs.google.com/spreadsheets/d/1Yj_ptqi66GCucihVvJfMjLAmec39IyEx_6qawtMGysU/edit?usp=sharing"",""สบก!CL66"")"),0.0)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0">
        <f>IFERROR(__xludf.DUMMYFUNCTION("IMPORTRANGE(""https://docs.google.com/spreadsheets/d/1Yj_ptqi66GCucihVvJfMjLAmec39IyEx_6qawtMGysU/edit?usp=sharing"",""สบก!CG66"")"),0.0)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0">
        <f>IFERROR(__xludf.DUMMYFUNCTION("IMPORTRANGE(""https://docs.google.com/spreadsheets/d/1Yj_ptqi66GCucihVvJfMjLAmec39IyEx_6qawtMGysU/edit?usp=sharing"",""สบก!CH66"")"),0.0)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62">
        <v>0.0</v>
      </c>
      <c r="M278" s="62"/>
      <c r="N278" s="62"/>
      <c r="O278" s="62"/>
      <c r="P278" s="62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70">
        <f>IFERROR(__xludf.DUMMYFUNCTION("IMPORTRANGE(""https://docs.google.com/spreadsheets/d/1Yj_ptqi66GCucihVvJfMjLAmec39IyEx_6qawtMGysU/edit?usp=sharing"",""สบก!CI66"")"),0.0)</f>
        <v>0</v>
      </c>
      <c r="M279" s="70"/>
      <c r="N279" s="70">
        <f>IFERROR(__xludf.DUMMYFUNCTION("IMPORTRANGE(""https://docs.google.com/spreadsheets/d/1Yj_ptqi66GCucihVvJfMjLAmec39IyEx_6qawtMGysU/edit?usp=sharing"",""สบก!CM66"")"),0.0)</f>
        <v>0</v>
      </c>
      <c r="O279" s="70">
        <f>IF(L279&gt;0,N279*100/L279,0)</f>
        <v>0</v>
      </c>
      <c r="P279" s="70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IFERROR(__xludf.DUMMYFUNCTION("IMPORTRANGE(""https://docs.google.com/spreadsheets/d/1SX6NBoVAgQJ6U1MVXOaj8PK2l7WJ3RER9xtqwdhxkhw/edit?usp=sharing"",""นครปฐม!J191"")"),0.0)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IFERROR(__xludf.DUMMYFUNCTION("IMPORTRANGE(""https://docs.google.com/spreadsheets/d/1SX6NBoVAgQJ6U1MVXOaj8PK2l7WJ3RER9xtqwdhxkhw/edit?usp=sharing"",""นครปฐม!J192"")"),0.0)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IFERROR(__xludf.DUMMYFUNCTION("IMPORTRANGE(""https://docs.google.com/spreadsheets/d/1SX6NBoVAgQJ6U1MVXOaj8PK2l7WJ3RER9xtqwdhxkhw/edit?usp=sharing"",""นครปฐม!J193"")"),0.0)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IFERROR(__xludf.DUMMYFUNCTION("IMPORTRANGE(""https://docs.google.com/spreadsheets/d/1SX6NBoVAgQJ6U1MVXOaj8PK2l7WJ3RER9xtqwdhxkhw/edit?usp=sharing"",""นครปฐม!J194"")"),0.0)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IFERROR(__xludf.DUMMYFUNCTION("IMPORTRANGE(""https://docs.google.com/spreadsheets/d/1SX6NBoVAgQJ6U1MVXOaj8PK2l7WJ3RER9xtqwdhxkhw/edit?usp=sharing"",""นครปฐม!I195"")"),0.0)</f>
        <v>0</v>
      </c>
      <c r="J285" s="223">
        <f>IFERROR(__xludf.DUMMYFUNCTION("IMPORTRANGE(""https://docs.google.com/spreadsheets/d/1SX6NBoVAgQJ6U1MVXOaj8PK2l7WJ3RER9xtqwdhxkhw/edit?usp=sharing"",""นครปฐม!J195"")"),0.0)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IFERROR(__xludf.DUMMYFUNCTION("IMPORTRANGE(""https://docs.google.com/spreadsheets/d/1SX6NBoVAgQJ6U1MVXOaj8PK2l7WJ3RER9xtqwdhxkhw/edit?usp=sharing"",""นครปฐม!J196"")"),0.0)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IFERROR(__xludf.DUMMYFUNCTION("IMPORTRANGE(""https://docs.google.com/spreadsheets/d/1SX6NBoVAgQJ6U1MVXOaj8PK2l7WJ3RER9xtqwdhxkhw/edit?usp=sharing"",""นครปฐม!J197"")"),0.0)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IFERROR(__xludf.DUMMYFUNCTION("IMPORTRANGE(""https://docs.google.com/spreadsheets/d/1SX6NBoVAgQJ6U1MVXOaj8PK2l7WJ3RER9xtqwdhxkhw/edit?usp=sharing"",""นครปฐม!I199"")"),0.0)</f>
        <v>0</v>
      </c>
      <c r="J289" s="349">
        <f>IFERROR(__xludf.DUMMYFUNCTION("IMPORTRANGE(""https://docs.google.com/spreadsheets/d/1SX6NBoVAgQJ6U1MVXOaj8PK2l7WJ3RER9xtqwdhxkhw/edit?usp=sharing"",""นครปฐม!J199"")"),0.0)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0">
        <f>IFERROR(__xludf.DUMMYFUNCTION("IMPORTRANGE(""https://docs.google.com/spreadsheets/d/1Yj_ptqi66GCucihVvJfMjLAmec39IyEx_6qawtMGysU/edit?usp=sharing"",""สบก!CT66"")"),0.0)</f>
        <v>0</v>
      </c>
      <c r="N294" s="203">
        <f>IFERROR(__xludf.DUMMYFUNCTION("IMPORTRANGE(""https://docs.google.com/spreadsheets/d/1Yj_ptqi66GCucihVvJfMjLAmec39IyEx_6qawtMGysU/edit?usp=sharing"",""สบก!CU66"")"),0.0)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0">
        <f>IFERROR(__xludf.DUMMYFUNCTION("IMPORTRANGE(""https://docs.google.com/spreadsheets/d/1Yj_ptqi66GCucihVvJfMjLAmec39IyEx_6qawtMGysU/edit?usp=sharing"",""สบก!CP66"")"),0.0)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0">
        <f>IFERROR(__xludf.DUMMYFUNCTION("IMPORTRANGE(""https://docs.google.com/spreadsheets/d/1Yj_ptqi66GCucihVvJfMjLAmec39IyEx_6qawtMGysU/edit?usp=sharing"",""สบก!CQ66"")"),0.0)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62">
        <v>0.0</v>
      </c>
      <c r="M297" s="62"/>
      <c r="N297" s="62"/>
      <c r="O297" s="62"/>
      <c r="P297" s="62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70">
        <f>IFERROR(__xludf.DUMMYFUNCTION("IMPORTRANGE(""https://docs.google.com/spreadsheets/d/1Yj_ptqi66GCucihVvJfMjLAmec39IyEx_6qawtMGysU/edit?usp=sharing"",""สบก!CR66"")"),0.0)</f>
        <v>0</v>
      </c>
      <c r="M298" s="70"/>
      <c r="N298" s="70">
        <f>IFERROR(__xludf.DUMMYFUNCTION("IMPORTRANGE(""https://docs.google.com/spreadsheets/d/1Yj_ptqi66GCucihVvJfMjLAmec39IyEx_6qawtMGysU/edit?usp=sharing"",""สบก!CV66"")"),0.0)</f>
        <v>0</v>
      </c>
      <c r="O298" s="70">
        <f>IF(L298&gt;0,N298*100/L298,0)</f>
        <v>0</v>
      </c>
      <c r="P298" s="70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IFERROR(__xludf.DUMMYFUNCTION("IMPORTRANGE(""https://docs.google.com/spreadsheets/d/1SX6NBoVAgQJ6U1MVXOaj8PK2l7WJ3RER9xtqwdhxkhw/edit?usp=sharing"",""นครปฐม!J205"")"),0.0)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IFERROR(__xludf.DUMMYFUNCTION("IMPORTRANGE(""https://docs.google.com/spreadsheets/d/1SX6NBoVAgQJ6U1MVXOaj8PK2l7WJ3RER9xtqwdhxkhw/edit?usp=sharing"",""นครปฐม!J206"")"),0.0)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IFERROR(__xludf.DUMMYFUNCTION("IMPORTRANGE(""https://docs.google.com/spreadsheets/d/1SX6NBoVAgQJ6U1MVXOaj8PK2l7WJ3RER9xtqwdhxkhw/edit?usp=sharing"",""นครปฐม!J207"")"),0.0)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IFERROR(__xludf.DUMMYFUNCTION("IMPORTRANGE(""https://docs.google.com/spreadsheets/d/1SX6NBoVAgQJ6U1MVXOaj8PK2l7WJ3RER9xtqwdhxkhw/edit?usp=sharing"",""นครปฐม!J208"")"),0.0)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IFERROR(__xludf.DUMMYFUNCTION("IMPORTRANGE(""https://docs.google.com/spreadsheets/d/1SX6NBoVAgQJ6U1MVXOaj8PK2l7WJ3RER9xtqwdhxkhw/edit?usp=sharing"",""นครปฐม!I209"")"),0.0)</f>
        <v>0</v>
      </c>
      <c r="J304" s="238">
        <f>IFERROR(__xludf.DUMMYFUNCTION("IMPORTRANGE(""https://docs.google.com/spreadsheets/d/1SX6NBoVAgQJ6U1MVXOaj8PK2l7WJ3RER9xtqwdhxkhw/edit?usp=sharing"",""นครปฐม!J209"")"),0.0)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IFERROR(__xludf.DUMMYFUNCTION("IMPORTRANGE(""https://docs.google.com/spreadsheets/d/1SX6NBoVAgQJ6U1MVXOaj8PK2l7WJ3RER9xtqwdhxkhw/edit?usp=sharing"",""นครปฐม!I211"")"),0.0)</f>
        <v>0</v>
      </c>
      <c r="J306" s="238">
        <f>IFERROR(__xludf.DUMMYFUNCTION("IMPORTRANGE(""https://docs.google.com/spreadsheets/d/1SX6NBoVAgQJ6U1MVXOaj8PK2l7WJ3RER9xtqwdhxkhw/edit?usp=sharing"",""นครปฐม!J211"")"),0.0)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IFERROR(__xludf.DUMMYFUNCTION("IMPORTRANGE(""https://docs.google.com/spreadsheets/d/1SX6NBoVAgQJ6U1MVXOaj8PK2l7WJ3RER9xtqwdhxkhw/edit?usp=sharing"",""นครปฐม!J212"")"),0.0)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IFERROR(__xludf.DUMMYFUNCTION("IMPORTRANGE(""https://docs.google.com/spreadsheets/d/1SX6NBoVAgQJ6U1MVXOaj8PK2l7WJ3RER9xtqwdhxkhw/edit?usp=sharing"",""นครปฐม!J213"")"),0.0)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IFERROR(__xludf.DUMMYFUNCTION("IMPORTRANGE(""https://docs.google.com/spreadsheets/d/1SX6NBoVAgQJ6U1MVXOaj8PK2l7WJ3RER9xtqwdhxkhw/edit?usp=sharing"",""นครปฐม!I214"")"),0.0)</f>
        <v>0</v>
      </c>
      <c r="J309" s="366">
        <f>IFERROR(__xludf.DUMMYFUNCTION("IMPORTRANGE(""https://docs.google.com/spreadsheets/d/1SX6NBoVAgQJ6U1MVXOaj8PK2l7WJ3RER9xtqwdhxkhw/edit?usp=sharing"",""นครปฐม!J214"")"),0.0)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0">
        <f>IFERROR(__xludf.DUMMYFUNCTION("IMPORTRANGE(""https://docs.google.com/spreadsheets/d/1Yj_ptqi66GCucihVvJfMjLAmec39IyEx_6qawtMGysU/edit?usp=sharing"",""สบก!DC66"")"),0.0)</f>
        <v>0</v>
      </c>
      <c r="N314" s="203">
        <f>IFERROR(__xludf.DUMMYFUNCTION("IMPORTRANGE(""https://docs.google.com/spreadsheets/d/1Yj_ptqi66GCucihVvJfMjLAmec39IyEx_6qawtMGysU/edit?usp=sharing"",""สบก!DD66"")"),0.0)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0">
        <f>IFERROR(__xludf.DUMMYFUNCTION("IMPORTRANGE(""https://docs.google.com/spreadsheets/d/1Yj_ptqi66GCucihVvJfMjLAmec39IyEx_6qawtMGysU/edit?usp=sharing"",""สบก!CY66"")"),0.0)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0">
        <f>IFERROR(__xludf.DUMMYFUNCTION("IMPORTRANGE(""https://docs.google.com/spreadsheets/d/1Yj_ptqi66GCucihVvJfMjLAmec39IyEx_6qawtMGysU/edit?usp=sharing"",""สบก!CZ66"")"),0.0)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62">
        <v>0.0</v>
      </c>
      <c r="M317" s="62"/>
      <c r="N317" s="62"/>
      <c r="O317" s="62"/>
      <c r="P317" s="62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70">
        <f>IFERROR(__xludf.DUMMYFUNCTION("IMPORTRANGE(""https://docs.google.com/spreadsheets/d/1Yj_ptqi66GCucihVvJfMjLAmec39IyEx_6qawtMGysU/edit?usp=sharing"",""สบก!DA66"")"),0.0)</f>
        <v>0</v>
      </c>
      <c r="M318" s="70"/>
      <c r="N318" s="70">
        <f>IFERROR(__xludf.DUMMYFUNCTION("IMPORTRANGE(""https://docs.google.com/spreadsheets/d/1Yj_ptqi66GCucihVvJfMjLAmec39IyEx_6qawtMGysU/edit?usp=sharing"",""สบก!DE66"")"),0.0)</f>
        <v>0</v>
      </c>
      <c r="O318" s="70">
        <f>IF(L318&gt;0,N318*100/L318,0)</f>
        <v>0</v>
      </c>
      <c r="P318" s="70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IFERROR(__xludf.DUMMYFUNCTION("IMPORTRANGE(""https://docs.google.com/spreadsheets/d/1SX6NBoVAgQJ6U1MVXOaj8PK2l7WJ3RER9xtqwdhxkhw/edit?usp=sharing"",""นครปฐม!J220"")"),0.0)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IFERROR(__xludf.DUMMYFUNCTION("IMPORTRANGE(""https://docs.google.com/spreadsheets/d/1SX6NBoVAgQJ6U1MVXOaj8PK2l7WJ3RER9xtqwdhxkhw/edit?usp=sharing"",""นครปฐม!J221"")"),0.0)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IFERROR(__xludf.DUMMYFUNCTION("IMPORTRANGE(""https://docs.google.com/spreadsheets/d/1SX6NBoVAgQJ6U1MVXOaj8PK2l7WJ3RER9xtqwdhxkhw/edit?usp=sharing"",""นครปฐม!J222"")"),0.0)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IFERROR(__xludf.DUMMYFUNCTION("IMPORTRANGE(""https://docs.google.com/spreadsheets/d/1SX6NBoVAgQJ6U1MVXOaj8PK2l7WJ3RER9xtqwdhxkhw/edit?usp=sharing"",""นครปฐม!J223"")"),0.0)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IFERROR(__xludf.DUMMYFUNCTION("IMPORTRANGE(""https://docs.google.com/spreadsheets/d/1SX6NBoVAgQJ6U1MVXOaj8PK2l7WJ3RER9xtqwdhxkhw/edit?usp=sharing"",""นครปฐม!I224"")"),0.0)</f>
        <v>0</v>
      </c>
      <c r="J324" s="238">
        <f>IFERROR(__xludf.DUMMYFUNCTION("IMPORTRANGE(""https://docs.google.com/spreadsheets/d/1SX6NBoVAgQJ6U1MVXOaj8PK2l7WJ3RER9xtqwdhxkhw/edit?usp=sharing"",""นครปฐม!J224"")"),0.0)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IFERROR(__xludf.DUMMYFUNCTION("IMPORTRANGE(""https://docs.google.com/spreadsheets/d/1SX6NBoVAgQJ6U1MVXOaj8PK2l7WJ3RER9xtqwdhxkhw/edit?usp=sharing"",""นครปฐม!J225"")"),0.0)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IFERROR(__xludf.DUMMYFUNCTION("IMPORTRANGE(""https://docs.google.com/spreadsheets/d/1SX6NBoVAgQJ6U1MVXOaj8PK2l7WJ3RER9xtqwdhxkhw/edit?usp=sharing"",""นครปฐม!J226"")"),0.0)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IFERROR(__xludf.DUMMYFUNCTION("IMPORTRANGE(""https://docs.google.com/spreadsheets/d/1SX6NBoVAgQJ6U1MVXOaj8PK2l7WJ3RER9xtqwdhxkhw/edit?usp=sharing"",""นครปฐม!I228"")"),0.0)</f>
        <v>0</v>
      </c>
      <c r="J328" s="372">
        <f>IFERROR(__xludf.DUMMYFUNCTION("IMPORTRANGE(""https://docs.google.com/spreadsheets/d/1SX6NBoVAgQJ6U1MVXOaj8PK2l7WJ3RER9xtqwdhxkhw/edit?usp=sharing"",""นครปฐม!J228"")"),0.0)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633110</v>
      </c>
      <c r="M329" s="183">
        <f t="shared" si="99"/>
        <v>243060</v>
      </c>
      <c r="N329" s="183">
        <f t="shared" si="99"/>
        <v>254750</v>
      </c>
      <c r="O329" s="182">
        <f t="shared" ref="O329:O331" si="101">IF(L329&gt;0,N329*100/L329,0)</f>
        <v>40.23787336</v>
      </c>
      <c r="P329" s="182">
        <f t="shared" ref="P329:P331" si="102">IF(M329&gt;0,N329*100/M329,0)</f>
        <v>104.8095121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633110</v>
      </c>
      <c r="M331" s="188">
        <f t="shared" si="103"/>
        <v>243060</v>
      </c>
      <c r="N331" s="188">
        <f t="shared" si="103"/>
        <v>254750</v>
      </c>
      <c r="O331" s="187">
        <f t="shared" si="101"/>
        <v>40.23787336</v>
      </c>
      <c r="P331" s="187">
        <f t="shared" si="102"/>
        <v>104.8095121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486110</v>
      </c>
      <c r="M333" s="200">
        <f>IFERROR(__xludf.DUMMYFUNCTION("IMPORTRANGE(""https://docs.google.com/spreadsheets/d/1Yj_ptqi66GCucihVvJfMjLAmec39IyEx_6qawtMGysU/edit?usp=sharing"",""สบก!DL66"")"),243060.0)</f>
        <v>243060</v>
      </c>
      <c r="N333" s="203">
        <f>IFERROR(__xludf.DUMMYFUNCTION("IMPORTRANGE(""https://docs.google.com/spreadsheets/d/1Yj_ptqi66GCucihVvJfMjLAmec39IyEx_6qawtMGysU/edit?usp=sharing"",""สบก!DM66"")"),112200.0)</f>
        <v>112200</v>
      </c>
      <c r="O333" s="203">
        <f>IF(L333&gt;0,N333*100/L333,0)</f>
        <v>23.08119561</v>
      </c>
      <c r="P333" s="203">
        <f>IF(M333&gt;0,N333*100/M333,0)</f>
        <v>46.16144162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0">
        <f>IFERROR(__xludf.DUMMYFUNCTION("IMPORTRANGE(""https://docs.google.com/spreadsheets/d/1Yj_ptqi66GCucihVvJfMjLAmec39IyEx_6qawtMGysU/edit?usp=sharing"",""สบก!DH66"")"),306000.0)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0">
        <f>IFERROR(__xludf.DUMMYFUNCTION("IMPORTRANGE(""https://docs.google.com/spreadsheets/d/1Yj_ptqi66GCucihVvJfMjLAmec39IyEx_6qawtMGysU/edit?usp=sharing"",""สบก!DI66"")"),180110.0)</f>
        <v>180110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62">
        <v>0.0</v>
      </c>
      <c r="M336" s="62"/>
      <c r="N336" s="62"/>
      <c r="O336" s="62"/>
      <c r="P336" s="62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70">
        <f>IFERROR(__xludf.DUMMYFUNCTION("IMPORTRANGE(""https://docs.google.com/spreadsheets/d/1Yj_ptqi66GCucihVvJfMjLAmec39IyEx_6qawtMGysU/edit?usp=sharing"",""สบก!DJ66"")"),147000.0)</f>
        <v>147000</v>
      </c>
      <c r="M337" s="70"/>
      <c r="N337" s="70">
        <f>IFERROR(__xludf.DUMMYFUNCTION("IMPORTRANGE(""https://docs.google.com/spreadsheets/d/1Yj_ptqi66GCucihVvJfMjLAmec39IyEx_6qawtMGysU/edit?usp=sharing"",""สบก!DN66"")"),142550.0)</f>
        <v>142550</v>
      </c>
      <c r="O337" s="70">
        <f>IF(L337&gt;0,N337*100/L337,0)</f>
        <v>96.97278912</v>
      </c>
      <c r="P337" s="70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IFERROR(__xludf.DUMMYFUNCTION("IMPORTRANGE(""https://docs.google.com/spreadsheets/d/1SX6NBoVAgQJ6U1MVXOaj8PK2l7WJ3RER9xtqwdhxkhw/edit?usp=sharing"",""นครปฐม!I234"")"),0.0)</f>
        <v>0</v>
      </c>
      <c r="J339" s="222">
        <f>IFERROR(__xludf.DUMMYFUNCTION("IMPORTRANGE(""https://docs.google.com/spreadsheets/d/1SX6NBoVAgQJ6U1MVXOaj8PK2l7WJ3RER9xtqwdhxkhw/edit?usp=sharing"",""นครปฐม!J234"")"),0.0)</f>
        <v>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IFERROR(__xludf.DUMMYFUNCTION("IMPORTRANGE(""https://docs.google.com/spreadsheets/d/1SX6NBoVAgQJ6U1MVXOaj8PK2l7WJ3RER9xtqwdhxkhw/edit?usp=sharing"",""นครปฐม!I235"")"),0.0)</f>
        <v>0</v>
      </c>
      <c r="J340" s="222">
        <f>IFERROR(__xludf.DUMMYFUNCTION("IMPORTRANGE(""https://docs.google.com/spreadsheets/d/1SX6NBoVAgQJ6U1MVXOaj8PK2l7WJ3RER9xtqwdhxkhw/edit?usp=sharing"",""นครปฐม!J235"")"),0.0)</f>
        <v>0</v>
      </c>
      <c r="K340" s="375">
        <f t="shared" si="104"/>
        <v>0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IFERROR(__xludf.DUMMYFUNCTION("IMPORTRANGE(""https://docs.google.com/spreadsheets/d/1SX6NBoVAgQJ6U1MVXOaj8PK2l7WJ3RER9xtqwdhxkhw/edit?usp=sharing"",""นครปฐม!I236"")"),0.0)</f>
        <v>0</v>
      </c>
      <c r="J341" s="222">
        <f>IFERROR(__xludf.DUMMYFUNCTION("IMPORTRANGE(""https://docs.google.com/spreadsheets/d/1SX6NBoVAgQJ6U1MVXOaj8PK2l7WJ3RER9xtqwdhxkhw/edit?usp=sharing"",""นครปฐม!J236"")"),0.0)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IFERROR(__xludf.DUMMYFUNCTION("IMPORTRANGE(""https://docs.google.com/spreadsheets/d/1SX6NBoVAgQJ6U1MVXOaj8PK2l7WJ3RER9xtqwdhxkhw/edit?usp=sharing"",""นครปฐม!I237"")"),0.0)</f>
        <v>0</v>
      </c>
      <c r="J342" s="222">
        <f>IFERROR(__xludf.DUMMYFUNCTION("IMPORTRANGE(""https://docs.google.com/spreadsheets/d/1SX6NBoVAgQJ6U1MVXOaj8PK2l7WJ3RER9xtqwdhxkhw/edit?usp=sharing"",""นครปฐม!J237"")"),0.0)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IFERROR(__xludf.DUMMYFUNCTION("IMPORTRANGE(""https://docs.google.com/spreadsheets/d/1SX6NBoVAgQJ6U1MVXOaj8PK2l7WJ3RER9xtqwdhxkhw/edit?usp=sharing"",""นครปฐม!I238"")"),0.0)</f>
        <v>0</v>
      </c>
      <c r="J343" s="222">
        <f>IFERROR(__xludf.DUMMYFUNCTION("IMPORTRANGE(""https://docs.google.com/spreadsheets/d/1SX6NBoVAgQJ6U1MVXOaj8PK2l7WJ3RER9xtqwdhxkhw/edit?usp=sharing"",""นครปฐม!J238"")"),0.0)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IFERROR(__xludf.DUMMYFUNCTION("IMPORTRANGE(""https://docs.google.com/spreadsheets/d/1SX6NBoVAgQJ6U1MVXOaj8PK2l7WJ3RER9xtqwdhxkhw/edit?usp=sharing"",""นครปฐม!I239"")"),0.0)</f>
        <v>0</v>
      </c>
      <c r="J344" s="222">
        <f>IFERROR(__xludf.DUMMYFUNCTION("IMPORTRANGE(""https://docs.google.com/spreadsheets/d/1SX6NBoVAgQJ6U1MVXOaj8PK2l7WJ3RER9xtqwdhxkhw/edit?usp=sharing"",""นครปฐม!J239"")"),0.0)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IFERROR(__xludf.DUMMYFUNCTION("IMPORTRANGE(""https://docs.google.com/spreadsheets/d/1SX6NBoVAgQJ6U1MVXOaj8PK2l7WJ3RER9xtqwdhxkhw/edit?usp=sharing"",""นครปฐม!I240"")"),0.0)</f>
        <v>0</v>
      </c>
      <c r="J345" s="222">
        <f>IFERROR(__xludf.DUMMYFUNCTION("IMPORTRANGE(""https://docs.google.com/spreadsheets/d/1SX6NBoVAgQJ6U1MVXOaj8PK2l7WJ3RER9xtqwdhxkhw/edit?usp=sharing"",""นครปฐม!J240"")"),0.0)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IFERROR(__xludf.DUMMYFUNCTION("IMPORTRANGE(""https://docs.google.com/spreadsheets/d/1SX6NBoVAgQJ6U1MVXOaj8PK2l7WJ3RER9xtqwdhxkhw/edit?usp=sharing"",""นครปฐม!I241"")"),0.0)</f>
        <v>0</v>
      </c>
      <c r="J346" s="222">
        <f>IFERROR(__xludf.DUMMYFUNCTION("IMPORTRANGE(""https://docs.google.com/spreadsheets/d/1SX6NBoVAgQJ6U1MVXOaj8PK2l7WJ3RER9xtqwdhxkhw/edit?usp=sharing"",""นครปฐม!J241"")"),0.0)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IFERROR(__xludf.DUMMYFUNCTION("IMPORTRANGE(""https://docs.google.com/spreadsheets/d/1SX6NBoVAgQJ6U1MVXOaj8PK2l7WJ3RER9xtqwdhxkhw/edit?usp=sharing"",""นครปฐม!L242"")"),354600.0)</f>
        <v>354600</v>
      </c>
      <c r="M347" s="391"/>
      <c r="N347" s="391">
        <f>IFERROR(__xludf.DUMMYFUNCTION("IMPORTRANGE(""https://docs.google.com/spreadsheets/d/1SX6NBoVAgQJ6U1MVXOaj8PK2l7WJ3RER9xtqwdhxkhw/edit?usp=sharing"",""นครปฐม!M242"")"),116731.7)</f>
        <v>116731.7</v>
      </c>
      <c r="O347" s="391">
        <f>+IF(L347&gt;0,N347*100/L347,0)</f>
        <v>32.91926114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IFERROR(__xludf.DUMMYFUNCTION("IMPORTRANGE(""https://docs.google.com/spreadsheets/d/1SX6NBoVAgQJ6U1MVXOaj8PK2l7WJ3RER9xtqwdhxkhw/edit?usp=sharing"",""นครปฐม!I244"")"),0.0)</f>
        <v>0</v>
      </c>
      <c r="J349" s="404">
        <f>IFERROR(__xludf.DUMMYFUNCTION("IMPORTRANGE(""https://docs.google.com/spreadsheets/d/1SX6NBoVAgQJ6U1MVXOaj8PK2l7WJ3RER9xtqwdhxkhw/edit?usp=sharing"",""นครปฐม!J244"")"),0.0)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IFERROR(__xludf.DUMMYFUNCTION("IMPORTRANGE(""https://docs.google.com/spreadsheets/d/1SX6NBoVAgQJ6U1MVXOaj8PK2l7WJ3RER9xtqwdhxkhw/edit?usp=sharing"",""นครปฐม!L244"")"),0.0)</f>
        <v>0</v>
      </c>
      <c r="M349" s="406"/>
      <c r="N349" s="406">
        <f>IFERROR(__xludf.DUMMYFUNCTION("IMPORTRANGE(""https://docs.google.com/spreadsheets/d/1SX6NBoVAgQJ6U1MVXOaj8PK2l7WJ3RER9xtqwdhxkhw/edit?usp=sharing"",""นครปฐม!M244"")"),0.0)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IFERROR(__xludf.DUMMYFUNCTION("IMPORTRANGE(""https://docs.google.com/spreadsheets/d/1SX6NBoVAgQJ6U1MVXOaj8PK2l7WJ3RER9xtqwdhxkhw/edit?usp=sharing"",""นครปฐม!I245"")"),0.0)</f>
        <v>0</v>
      </c>
      <c r="J350" s="404">
        <f>IFERROR(__xludf.DUMMYFUNCTION("IMPORTRANGE(""https://docs.google.com/spreadsheets/d/1SX6NBoVAgQJ6U1MVXOaj8PK2l7WJ3RER9xtqwdhxkhw/edit?usp=sharing"",""นครปฐม!J245"")"),0.0)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IFERROR(__xludf.DUMMYFUNCTION("IMPORTRANGE(""https://docs.google.com/spreadsheets/d/1SX6NBoVAgQJ6U1MVXOaj8PK2l7WJ3RER9xtqwdhxkhw/edit?usp=sharing"",""นครปฐม!L246"")"),0.0)</f>
        <v>0</v>
      </c>
      <c r="M351" s="197"/>
      <c r="N351" s="197">
        <f>IFERROR(__xludf.DUMMYFUNCTION("IMPORTRANGE(""https://docs.google.com/spreadsheets/d/1SX6NBoVAgQJ6U1MVXOaj8PK2l7WJ3RER9xtqwdhxkhw/edit?usp=sharing"",""นครปฐม!M246"")"),0.0)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IFERROR(__xludf.DUMMYFUNCTION("IMPORTRANGE(""https://docs.google.com/spreadsheets/d/1SX6NBoVAgQJ6U1MVXOaj8PK2l7WJ3RER9xtqwdhxkhw/edit?usp=sharing"",""นครปฐม!L247"")"),0.0)</f>
        <v>0</v>
      </c>
      <c r="M352" s="198"/>
      <c r="N352" s="197">
        <f>IFERROR(__xludf.DUMMYFUNCTION("IMPORTRANGE(""https://docs.google.com/spreadsheets/d/1SX6NBoVAgQJ6U1MVXOaj8PK2l7WJ3RER9xtqwdhxkhw/edit?usp=sharing"",""นครปฐม!M247"")"),0.0)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IFERROR(__xludf.DUMMYFUNCTION("IMPORTRANGE(""https://docs.google.com/spreadsheets/d/1SX6NBoVAgQJ6U1MVXOaj8PK2l7WJ3RER9xtqwdhxkhw/edit?usp=sharing"",""นครปฐม!L248"")"),0.0)</f>
        <v>0</v>
      </c>
      <c r="M353" s="203"/>
      <c r="N353" s="203">
        <f>IFERROR(__xludf.DUMMYFUNCTION("IMPORTRANGE(""https://docs.google.com/spreadsheets/d/1SX6NBoVAgQJ6U1MVXOaj8PK2l7WJ3RER9xtqwdhxkhw/edit?usp=sharing"",""นครปฐม!M248"")"),0.0)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IFERROR(__xludf.DUMMYFUNCTION("IMPORTRANGE(""https://docs.google.com/spreadsheets/d/1SX6NBoVAgQJ6U1MVXOaj8PK2l7WJ3RER9xtqwdhxkhw/edit?usp=sharing"",""นครปฐม!L249"")"),0.0)</f>
        <v>0</v>
      </c>
      <c r="M354" s="203"/>
      <c r="N354" s="200">
        <f>IFERROR(__xludf.DUMMYFUNCTION("IMPORTRANGE(""https://docs.google.com/spreadsheets/d/1SX6NBoVAgQJ6U1MVXOaj8PK2l7WJ3RER9xtqwdhxkhw/edit?usp=sharing"",""นครปฐม!M249"")"),0.0)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IFERROR(__xludf.DUMMYFUNCTION("IMPORTRANGE(""https://docs.google.com/spreadsheets/d/1SX6NBoVAgQJ6U1MVXOaj8PK2l7WJ3RER9xtqwdhxkhw/edit?usp=sharing"",""นครปฐม!M250"")"),0.0)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IFERROR(__xludf.DUMMYFUNCTION("IMPORTRANGE(""https://docs.google.com/spreadsheets/d/1SX6NBoVAgQJ6U1MVXOaj8PK2l7WJ3RER9xtqwdhxkhw/edit?usp=sharing"",""นครปฐม!M251"")"),0.0)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IFERROR(__xludf.DUMMYFUNCTION("IMPORTRANGE(""https://docs.google.com/spreadsheets/d/1SX6NBoVAgQJ6U1MVXOaj8PK2l7WJ3RER9xtqwdhxkhw/edit?usp=sharing"",""นครปฐม!M252"")"),0.0)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IFERROR(__xludf.DUMMYFUNCTION("IMPORTRANGE(""https://docs.google.com/spreadsheets/d/1SX6NBoVAgQJ6U1MVXOaj8PK2l7WJ3RER9xtqwdhxkhw/edit?usp=sharing"",""นครปฐม!M253"")"),0.0)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IFERROR(__xludf.DUMMYFUNCTION("IMPORTRANGE(""https://docs.google.com/spreadsheets/d/1SX6NBoVAgQJ6U1MVXOaj8PK2l7WJ3RER9xtqwdhxkhw/edit?usp=sharing"",""นครปฐม!J255"")"),0.0)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IFERROR(__xludf.DUMMYFUNCTION("IMPORTRANGE(""https://docs.google.com/spreadsheets/d/1SX6NBoVAgQJ6U1MVXOaj8PK2l7WJ3RER9xtqwdhxkhw/edit?usp=sharing"",""นครปฐม!J256"")"),0.0)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IFERROR(__xludf.DUMMYFUNCTION("IMPORTRANGE(""https://docs.google.com/spreadsheets/d/1SX6NBoVAgQJ6U1MVXOaj8PK2l7WJ3RER9xtqwdhxkhw/edit?usp=sharing"",""นครปฐม!J257"")"),0.0)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IFERROR(__xludf.DUMMYFUNCTION("IMPORTRANGE(""https://docs.google.com/spreadsheets/d/1SX6NBoVAgQJ6U1MVXOaj8PK2l7WJ3RER9xtqwdhxkhw/edit?usp=sharing"",""นครปฐม!J258"")"),0.0)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IFERROR(__xludf.DUMMYFUNCTION("IMPORTRANGE(""https://docs.google.com/spreadsheets/d/1SX6NBoVAgQJ6U1MVXOaj8PK2l7WJ3RER9xtqwdhxkhw/edit?usp=sharing"",""นครปฐม!J166"")"),0.0)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IFERROR(__xludf.DUMMYFUNCTION("IMPORTRANGE(""https://docs.google.com/spreadsheets/d/1SX6NBoVAgQJ6U1MVXOaj8PK2l7WJ3RER9xtqwdhxkhw/edit?usp=sharing"",""นครปฐม!J166"")"),0.0)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IFERROR(__xludf.DUMMYFUNCTION("IMPORTRANGE(""https://docs.google.com/spreadsheets/d/1SX6NBoVAgQJ6U1MVXOaj8PK2l7WJ3RER9xtqwdhxkhw/edit?usp=sharing"",""นครปฐม!J166"")"),0.0)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IFERROR(__xludf.DUMMYFUNCTION("IMPORTRANGE(""https://docs.google.com/spreadsheets/d/1SX6NBoVAgQJ6U1MVXOaj8PK2l7WJ3RER9xtqwdhxkhw/edit?usp=sharing"",""นครปฐม!J166"")"),0.0)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IFERROR(__xludf.DUMMYFUNCTION("IMPORTRANGE(""https://docs.google.com/spreadsheets/d/1SX6NBoVAgQJ6U1MVXOaj8PK2l7WJ3RER9xtqwdhxkhw/edit?usp=sharing"",""นครปฐม!I263"")"),0.0)</f>
        <v>0</v>
      </c>
      <c r="J368" s="222">
        <f>IFERROR(__xludf.DUMMYFUNCTION("IMPORTRANGE(""https://docs.google.com/spreadsheets/d/1SX6NBoVAgQJ6U1MVXOaj8PK2l7WJ3RER9xtqwdhxkhw/edit?usp=sharing"",""นครปฐม!J263"")"),0.0)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IFERROR(__xludf.DUMMYFUNCTION("IMPORTRANGE(""https://docs.google.com/spreadsheets/d/1SX6NBoVAgQJ6U1MVXOaj8PK2l7WJ3RER9xtqwdhxkhw/edit?usp=sharing"",""นครปฐม!I164"")"),0.0)</f>
        <v>0</v>
      </c>
      <c r="J369" s="238">
        <f>IFERROR(__xludf.DUMMYFUNCTION("IMPORTRANGE(""https://docs.google.com/spreadsheets/d/1SX6NBoVAgQJ6U1MVXOaj8PK2l7WJ3RER9xtqwdhxkhw/edit?usp=sharing"",""นครปฐม!J164"")"),0.0)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IFERROR(__xludf.DUMMYFUNCTION("IMPORTRANGE(""https://docs.google.com/spreadsheets/d/1SX6NBoVAgQJ6U1MVXOaj8PK2l7WJ3RER9xtqwdhxkhw/edit?usp=sharing"",""นครปฐม!I265"")"),0.0)</f>
        <v>0</v>
      </c>
      <c r="J370" s="238">
        <f>IFERROR(__xludf.DUMMYFUNCTION("IMPORTRANGE(""https://docs.google.com/spreadsheets/d/1SX6NBoVAgQJ6U1MVXOaj8PK2l7WJ3RER9xtqwdhxkhw/edit?usp=sharing"",""นครปฐม!J265"")"),0.0)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IFERROR(__xludf.DUMMYFUNCTION("IMPORTRANGE(""https://docs.google.com/spreadsheets/d/1SX6NBoVAgQJ6U1MVXOaj8PK2l7WJ3RER9xtqwdhxkhw/edit?usp=sharing"",""นครปฐม!I164"")"),0.0)</f>
        <v>0</v>
      </c>
      <c r="J371" s="223">
        <f>IFERROR(__xludf.DUMMYFUNCTION("IMPORTRANGE(""https://docs.google.com/spreadsheets/d/1SX6NBoVAgQJ6U1MVXOaj8PK2l7WJ3RER9xtqwdhxkhw/edit?usp=sharing"",""นครปฐม!J164"")"),0.0)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IFERROR(__xludf.DUMMYFUNCTION("IMPORTRANGE(""https://docs.google.com/spreadsheets/d/1SX6NBoVAgQJ6U1MVXOaj8PK2l7WJ3RER9xtqwdhxkhw/edit?usp=sharing"",""นครปฐม!I267"")"),0.0)</f>
        <v>0</v>
      </c>
      <c r="J372" s="223">
        <f>IFERROR(__xludf.DUMMYFUNCTION("IMPORTRANGE(""https://docs.google.com/spreadsheets/d/1SX6NBoVAgQJ6U1MVXOaj8PK2l7WJ3RER9xtqwdhxkhw/edit?usp=sharing"",""นครปฐม!J267"")"),0.0)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IFERROR(__xludf.DUMMYFUNCTION("IMPORTRANGE(""https://docs.google.com/spreadsheets/d/1SX6NBoVAgQJ6U1MVXOaj8PK2l7WJ3RER9xtqwdhxkhw/edit?usp=sharing"",""นครปฐม!I164"")"),0.0)</f>
        <v>0</v>
      </c>
      <c r="J373" s="238">
        <f>IFERROR(__xludf.DUMMYFUNCTION("IMPORTRANGE(""https://docs.google.com/spreadsheets/d/1SX6NBoVAgQJ6U1MVXOaj8PK2l7WJ3RER9xtqwdhxkhw/edit?usp=sharing"",""นครปฐม!J164"")"),0.0)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IFERROR(__xludf.DUMMYFUNCTION("IMPORTRANGE(""https://docs.google.com/spreadsheets/d/1SX6NBoVAgQJ6U1MVXOaj8PK2l7WJ3RER9xtqwdhxkhw/edit?usp=sharing"",""นครปฐม!I164"")"),0.0)</f>
        <v>0</v>
      </c>
      <c r="J374" s="222">
        <f>IFERROR(__xludf.DUMMYFUNCTION("IMPORTRANGE(""https://docs.google.com/spreadsheets/d/1SX6NBoVAgQJ6U1MVXOaj8PK2l7WJ3RER9xtqwdhxkhw/edit?usp=sharing"",""นครปฐม!J164"")"),0.0)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IFERROR(__xludf.DUMMYFUNCTION("IMPORTRANGE(""https://docs.google.com/spreadsheets/d/1SX6NBoVAgQJ6U1MVXOaj8PK2l7WJ3RER9xtqwdhxkhw/edit?usp=sharing"",""นครปฐม!I270"")"),0.0)</f>
        <v>0</v>
      </c>
      <c r="J375" s="222">
        <f>IFERROR(__xludf.DUMMYFUNCTION("IMPORTRANGE(""https://docs.google.com/spreadsheets/d/1SX6NBoVAgQJ6U1MVXOaj8PK2l7WJ3RER9xtqwdhxkhw/edit?usp=sharing"",""นครปฐม!J270"")"),0.0)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IFERROR(__xludf.DUMMYFUNCTION("IMPORTRANGE(""https://docs.google.com/spreadsheets/d/1SX6NBoVAgQJ6U1MVXOaj8PK2l7WJ3RER9xtqwdhxkhw/edit?usp=sharing"",""นครปฐม!I271"")"),0.0)</f>
        <v>0</v>
      </c>
      <c r="J376" s="223">
        <f>IFERROR(__xludf.DUMMYFUNCTION("IMPORTRANGE(""https://docs.google.com/spreadsheets/d/1SX6NBoVAgQJ6U1MVXOaj8PK2l7WJ3RER9xtqwdhxkhw/edit?usp=sharing"",""นครปฐม!J271"")"),0.0)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IFERROR(__xludf.DUMMYFUNCTION("IMPORTRANGE(""https://docs.google.com/spreadsheets/d/1SX6NBoVAgQJ6U1MVXOaj8PK2l7WJ3RER9xtqwdhxkhw/edit?usp=sharing"",""นครปฐม!I272"")"),0.0)</f>
        <v>0</v>
      </c>
      <c r="J377" s="238">
        <f>IFERROR(__xludf.DUMMYFUNCTION("IMPORTRANGE(""https://docs.google.com/spreadsheets/d/1SX6NBoVAgQJ6U1MVXOaj8PK2l7WJ3RER9xtqwdhxkhw/edit?usp=sharing"",""นครปฐม!J272"")"),0.0)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IFERROR(__xludf.DUMMYFUNCTION("IMPORTRANGE(""https://docs.google.com/spreadsheets/d/1SX6NBoVAgQJ6U1MVXOaj8PK2l7WJ3RER9xtqwdhxkhw/edit?usp=sharing"",""นครปฐม!J273"")"),0.0)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IFERROR(__xludf.DUMMYFUNCTION("IMPORTRANGE(""https://docs.google.com/spreadsheets/d/1SX6NBoVAgQJ6U1MVXOaj8PK2l7WJ3RER9xtqwdhxkhw/edit?usp=sharing"",""นครปฐม!J274"")"),0.0)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IFERROR(__xludf.DUMMYFUNCTION("IMPORTRANGE(""https://docs.google.com/spreadsheets/d/1SX6NBoVAgQJ6U1MVXOaj8PK2l7WJ3RER9xtqwdhxkhw/edit?usp=sharing"",""นครปฐม!I275"")"),0.0)</f>
        <v>0</v>
      </c>
      <c r="J380" s="404">
        <f>IFERROR(__xludf.DUMMYFUNCTION("IMPORTRANGE(""https://docs.google.com/spreadsheets/d/1SX6NBoVAgQJ6U1MVXOaj8PK2l7WJ3RER9xtqwdhxkhw/edit?usp=sharing"",""นครปฐม!J275"")"),0.0)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IFERROR(__xludf.DUMMYFUNCTION("IMPORTRANGE(""https://docs.google.com/spreadsheets/d/1SX6NBoVAgQJ6U1MVXOaj8PK2l7WJ3RER9xtqwdhxkhw/edit?usp=sharing"",""นครปฐม!L275"")"),0.0)</f>
        <v>0</v>
      </c>
      <c r="M380" s="406"/>
      <c r="N380" s="406">
        <f>IFERROR(__xludf.DUMMYFUNCTION("IMPORTRANGE(""https://docs.google.com/spreadsheets/d/1SX6NBoVAgQJ6U1MVXOaj8PK2l7WJ3RER9xtqwdhxkhw/edit?usp=sharing"",""นครปฐม!M275"")"),0.0)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IFERROR(__xludf.DUMMYFUNCTION("IMPORTRANGE(""https://docs.google.com/spreadsheets/d/1SX6NBoVAgQJ6U1MVXOaj8PK2l7WJ3RER9xtqwdhxkhw/edit?usp=sharing"",""นครปฐม!I276"")"),0.0)</f>
        <v>0</v>
      </c>
      <c r="J381" s="404">
        <f>IFERROR(__xludf.DUMMYFUNCTION("IMPORTRANGE(""https://docs.google.com/spreadsheets/d/1SX6NBoVAgQJ6U1MVXOaj8PK2l7WJ3RER9xtqwdhxkhw/edit?usp=sharing"",""นครปฐม!J276"")"),0.0)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IFERROR(__xludf.DUMMYFUNCTION("IMPORTRANGE(""https://docs.google.com/spreadsheets/d/1SX6NBoVAgQJ6U1MVXOaj8PK2l7WJ3RER9xtqwdhxkhw/edit?usp=sharing"",""นครปฐม!L277"")"),0.0)</f>
        <v>0</v>
      </c>
      <c r="M382" s="197"/>
      <c r="N382" s="197">
        <f>IFERROR(__xludf.DUMMYFUNCTION("IMPORTRANGE(""https://docs.google.com/spreadsheets/d/1SX6NBoVAgQJ6U1MVXOaj8PK2l7WJ3RER9xtqwdhxkhw/edit?usp=sharing"",""นครปฐม!M277"")"),0.0)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IFERROR(__xludf.DUMMYFUNCTION("IMPORTRANGE(""https://docs.google.com/spreadsheets/d/1SX6NBoVAgQJ6U1MVXOaj8PK2l7WJ3RER9xtqwdhxkhw/edit?usp=sharing"",""นครปฐม!L278"")"),0.0)</f>
        <v>0</v>
      </c>
      <c r="M383" s="198"/>
      <c r="N383" s="198">
        <f>IFERROR(__xludf.DUMMYFUNCTION("IMPORTRANGE(""https://docs.google.com/spreadsheets/d/1SX6NBoVAgQJ6U1MVXOaj8PK2l7WJ3RER9xtqwdhxkhw/edit?usp=sharing"",""นครปฐม!M278"")"),0.0)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IFERROR(__xludf.DUMMYFUNCTION("IMPORTRANGE(""https://docs.google.com/spreadsheets/d/1SX6NBoVAgQJ6U1MVXOaj8PK2l7WJ3RER9xtqwdhxkhw/edit?usp=sharing"",""นครปฐม!L279"")"),0.0)</f>
        <v>0</v>
      </c>
      <c r="M384" s="203"/>
      <c r="N384" s="203">
        <f>IFERROR(__xludf.DUMMYFUNCTION("IMPORTRANGE(""https://docs.google.com/spreadsheets/d/1SX6NBoVAgQJ6U1MVXOaj8PK2l7WJ3RER9xtqwdhxkhw/edit?usp=sharing"",""นครปฐม!M279"")"),0.0)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IFERROR(__xludf.DUMMYFUNCTION("IMPORTRANGE(""https://docs.google.com/spreadsheets/d/1SX6NBoVAgQJ6U1MVXOaj8PK2l7WJ3RER9xtqwdhxkhw/edit?usp=sharing"",""นครปฐม!L280"")"),0.0)</f>
        <v>0</v>
      </c>
      <c r="M385" s="203"/>
      <c r="N385" s="200">
        <f>IFERROR(__xludf.DUMMYFUNCTION("IMPORTRANGE(""https://docs.google.com/spreadsheets/d/1SX6NBoVAgQJ6U1MVXOaj8PK2l7WJ3RER9xtqwdhxkhw/edit?usp=sharing"",""นครปฐม!M280"")"),0.0)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IFERROR(__xludf.DUMMYFUNCTION("IMPORTRANGE(""https://docs.google.com/spreadsheets/d/1SX6NBoVAgQJ6U1MVXOaj8PK2l7WJ3RER9xtqwdhxkhw/edit?usp=sharing"",""นครปฐม!M281"")"),0.0)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IFERROR(__xludf.DUMMYFUNCTION("IMPORTRANGE(""https://docs.google.com/spreadsheets/d/1SX6NBoVAgQJ6U1MVXOaj8PK2l7WJ3RER9xtqwdhxkhw/edit?usp=sharing"",""นครปฐม!M282"")"),0.0)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IFERROR(__xludf.DUMMYFUNCTION("IMPORTRANGE(""https://docs.google.com/spreadsheets/d/1SX6NBoVAgQJ6U1MVXOaj8PK2l7WJ3RER9xtqwdhxkhw/edit?usp=sharing"",""นครปฐม!M283"")"),0.0)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IFERROR(__xludf.DUMMYFUNCTION("IMPORTRANGE(""https://docs.google.com/spreadsheets/d/1SX6NBoVAgQJ6U1MVXOaj8PK2l7WJ3RER9xtqwdhxkhw/edit?usp=sharing"",""นครปฐม!M284"")"),0.0)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IFERROR(__xludf.DUMMYFUNCTION("IMPORTRANGE(""https://docs.google.com/spreadsheets/d/1SX6NBoVAgQJ6U1MVXOaj8PK2l7WJ3RER9xtqwdhxkhw/edit?usp=sharing"",""นครปฐม!J286"")"),0.0)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IFERROR(__xludf.DUMMYFUNCTION("IMPORTRANGE(""https://docs.google.com/spreadsheets/d/1SX6NBoVAgQJ6U1MVXOaj8PK2l7WJ3RER9xtqwdhxkhw/edit?usp=sharing"",""นครปฐม!J287"")"),0.0)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IFERROR(__xludf.DUMMYFUNCTION("IMPORTRANGE(""https://docs.google.com/spreadsheets/d/1SX6NBoVAgQJ6U1MVXOaj8PK2l7WJ3RER9xtqwdhxkhw/edit?usp=sharing"",""นครปฐม!J288"")"),0.0)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IFERROR(__xludf.DUMMYFUNCTION("IMPORTRANGE(""https://docs.google.com/spreadsheets/d/1SX6NBoVAgQJ6U1MVXOaj8PK2l7WJ3RER9xtqwdhxkhw/edit?usp=sharing"",""นครปฐม!J289"")"),0.0)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IFERROR(__xludf.DUMMYFUNCTION("IMPORTRANGE(""https://docs.google.com/spreadsheets/d/1SX6NBoVAgQJ6U1MVXOaj8PK2l7WJ3RER9xtqwdhxkhw/edit?usp=sharing"",""นครปฐม!I291"")"),0.0)</f>
        <v>0</v>
      </c>
      <c r="J396" s="232">
        <f>IFERROR(__xludf.DUMMYFUNCTION("IMPORTRANGE(""https://docs.google.com/spreadsheets/d/1SX6NBoVAgQJ6U1MVXOaj8PK2l7WJ3RER9xtqwdhxkhw/edit?usp=sharing"",""นครปฐม!J291"")"),0.0)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IFERROR(__xludf.DUMMYFUNCTION("IMPORTRANGE(""https://docs.google.com/spreadsheets/d/1SX6NBoVAgQJ6U1MVXOaj8PK2l7WJ3RER9xtqwdhxkhw/edit?usp=sharing"",""นครปฐม!I292"")"),0.0)</f>
        <v>0</v>
      </c>
      <c r="J397" s="232">
        <f>IFERROR(__xludf.DUMMYFUNCTION("IMPORTRANGE(""https://docs.google.com/spreadsheets/d/1SX6NBoVAgQJ6U1MVXOaj8PK2l7WJ3RER9xtqwdhxkhw/edit?usp=sharing"",""นครปฐม!J292"")"),0.0)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IFERROR(__xludf.DUMMYFUNCTION("IMPORTRANGE(""https://docs.google.com/spreadsheets/d/1SX6NBoVAgQJ6U1MVXOaj8PK2l7WJ3RER9xtqwdhxkhw/edit?usp=sharing"",""นครปฐม!I293"")"),0.0)</f>
        <v>0</v>
      </c>
      <c r="J398" s="232">
        <f>IFERROR(__xludf.DUMMYFUNCTION("IMPORTRANGE(""https://docs.google.com/spreadsheets/d/1SX6NBoVAgQJ6U1MVXOaj8PK2l7WJ3RER9xtqwdhxkhw/edit?usp=sharing"",""นครปฐม!J293"")"),0.0)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IFERROR(__xludf.DUMMYFUNCTION("IMPORTRANGE(""https://docs.google.com/spreadsheets/d/1SX6NBoVAgQJ6U1MVXOaj8PK2l7WJ3RER9xtqwdhxkhw/edit?usp=sharing"",""นครปฐม!J294"")"),0.0)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IFERROR(__xludf.DUMMYFUNCTION("IMPORTRANGE(""https://docs.google.com/spreadsheets/d/1SX6NBoVAgQJ6U1MVXOaj8PK2l7WJ3RER9xtqwdhxkhw/edit?usp=sharing"",""นครปฐม!J295"")"),0.0)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IFERROR(__xludf.DUMMYFUNCTION("IMPORTRANGE(""https://docs.google.com/spreadsheets/d/1SX6NBoVAgQJ6U1MVXOaj8PK2l7WJ3RER9xtqwdhxkhw/edit?usp=sharing"",""นครปฐม!I296"")"),150.0)</f>
        <v>150</v>
      </c>
      <c r="J401" s="404">
        <f>IFERROR(__xludf.DUMMYFUNCTION("IMPORTRANGE(""https://docs.google.com/spreadsheets/d/1SX6NBoVAgQJ6U1MVXOaj8PK2l7WJ3RER9xtqwdhxkhw/edit?usp=sharing"",""นครปฐม!J296"")"),0.0)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IFERROR(__xludf.DUMMYFUNCTION("IMPORTRANGE(""https://docs.google.com/spreadsheets/d/1SX6NBoVAgQJ6U1MVXOaj8PK2l7WJ3RER9xtqwdhxkhw/edit?usp=sharing"",""นครปฐม!L296"")"),130250.0)</f>
        <v>130250</v>
      </c>
      <c r="M401" s="406"/>
      <c r="N401" s="406">
        <f>IFERROR(__xludf.DUMMYFUNCTION("IMPORTRANGE(""https://docs.google.com/spreadsheets/d/1SX6NBoVAgQJ6U1MVXOaj8PK2l7WJ3RER9xtqwdhxkhw/edit?usp=sharing"",""นครปฐม!M296"")"),46960.0)</f>
        <v>46960</v>
      </c>
      <c r="O401" s="406">
        <f>+IF(L401&gt;0,N401*100/L401,0)</f>
        <v>36.0537428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IFERROR(__xludf.DUMMYFUNCTION("IMPORTRANGE(""https://docs.google.com/spreadsheets/d/1SX6NBoVAgQJ6U1MVXOaj8PK2l7WJ3RER9xtqwdhxkhw/edit?usp=sharing"",""นครปฐม!I297"")"),50.0)</f>
        <v>50</v>
      </c>
      <c r="J402" s="404">
        <f>IFERROR(__xludf.DUMMYFUNCTION("IMPORTRANGE(""https://docs.google.com/spreadsheets/d/1SX6NBoVAgQJ6U1MVXOaj8PK2l7WJ3RER9xtqwdhxkhw/edit?usp=sharing"",""นครปฐม!J297"")"),0.0)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IFERROR(__xludf.DUMMYFUNCTION("IMPORTRANGE(""https://docs.google.com/spreadsheets/d/1SX6NBoVAgQJ6U1MVXOaj8PK2l7WJ3RER9xtqwdhxkhw/edit?usp=sharing"",""นครปฐม!L298"")"),0.0)</f>
        <v>0</v>
      </c>
      <c r="M403" s="197"/>
      <c r="N403" s="203">
        <f>IFERROR(__xludf.DUMMYFUNCTION("IMPORTRANGE(""https://docs.google.com/spreadsheets/d/1SX6NBoVAgQJ6U1MVXOaj8PK2l7WJ3RER9xtqwdhxkhw/edit?usp=sharing"",""นครปฐม!M298"")"),0.0)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IFERROR(__xludf.DUMMYFUNCTION("IMPORTRANGE(""https://docs.google.com/spreadsheets/d/1SX6NBoVAgQJ6U1MVXOaj8PK2l7WJ3RER9xtqwdhxkhw/edit?usp=sharing"",""นครปฐม!L299"")"),130250.0)</f>
        <v>130250</v>
      </c>
      <c r="M404" s="198"/>
      <c r="N404" s="203">
        <f>IFERROR(__xludf.DUMMYFUNCTION("IMPORTRANGE(""https://docs.google.com/spreadsheets/d/1SX6NBoVAgQJ6U1MVXOaj8PK2l7WJ3RER9xtqwdhxkhw/edit?usp=sharing"",""นครปฐม!M299"")"),46960.0)</f>
        <v>46960</v>
      </c>
      <c r="O404" s="203">
        <f t="shared" si="113"/>
        <v>36.0537428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IFERROR(__xludf.DUMMYFUNCTION("IMPORTRANGE(""https://docs.google.com/spreadsheets/d/1SX6NBoVAgQJ6U1MVXOaj8PK2l7WJ3RER9xtqwdhxkhw/edit?usp=sharing"",""นครปฐม!L300"")"),0.0)</f>
        <v>0</v>
      </c>
      <c r="M405" s="203"/>
      <c r="N405" s="203">
        <f>IFERROR(__xludf.DUMMYFUNCTION("IMPORTRANGE(""https://docs.google.com/spreadsheets/d/1SX6NBoVAgQJ6U1MVXOaj8PK2l7WJ3RER9xtqwdhxkhw/edit?usp=sharing"",""นครปฐม!M300"")"),0.0)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IFERROR(__xludf.DUMMYFUNCTION("IMPORTRANGE(""https://docs.google.com/spreadsheets/d/1SX6NBoVAgQJ6U1MVXOaj8PK2l7WJ3RER9xtqwdhxkhw/edit?usp=sharing"",""นครปฐม!L301"")"),130250.0)</f>
        <v>130250</v>
      </c>
      <c r="M406" s="203"/>
      <c r="N406" s="203">
        <f>IFERROR(__xludf.DUMMYFUNCTION("IMPORTRANGE(""https://docs.google.com/spreadsheets/d/1SX6NBoVAgQJ6U1MVXOaj8PK2l7WJ3RER9xtqwdhxkhw/edit?usp=sharing"",""นครปฐม!M301"")"),46960.0)</f>
        <v>46960</v>
      </c>
      <c r="O406" s="203">
        <f t="shared" si="113"/>
        <v>36.0537428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IFERROR(__xludf.DUMMYFUNCTION("IMPORTRANGE(""https://docs.google.com/spreadsheets/d/1SX6NBoVAgQJ6U1MVXOaj8PK2l7WJ3RER9xtqwdhxkhw/edit?usp=sharing"",""นครปฐม!M302"")"),30400.0)</f>
        <v>30400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IFERROR(__xludf.DUMMYFUNCTION("IMPORTRANGE(""https://docs.google.com/spreadsheets/d/1SX6NBoVAgQJ6U1MVXOaj8PK2l7WJ3RER9xtqwdhxkhw/edit?usp=sharing"",""นครปฐม!M303"")"),0.0)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IFERROR(__xludf.DUMMYFUNCTION("IMPORTRANGE(""https://docs.google.com/spreadsheets/d/1SX6NBoVAgQJ6U1MVXOaj8PK2l7WJ3RER9xtqwdhxkhw/edit?usp=sharing"",""นครปฐม!M304"")"),0.0)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IFERROR(__xludf.DUMMYFUNCTION("IMPORTRANGE(""https://docs.google.com/spreadsheets/d/1SX6NBoVAgQJ6U1MVXOaj8PK2l7WJ3RER9xtqwdhxkhw/edit?usp=sharing"",""นครปฐม!M305"")"),16560.0)</f>
        <v>16560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IFERROR(__xludf.DUMMYFUNCTION("IMPORTRANGE(""https://docs.google.com/spreadsheets/d/1SX6NBoVAgQJ6U1MVXOaj8PK2l7WJ3RER9xtqwdhxkhw/edit?usp=sharing"",""นครปฐม!J307"")"),0.0)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IFERROR(__xludf.DUMMYFUNCTION("IMPORTRANGE(""https://docs.google.com/spreadsheets/d/1SX6NBoVAgQJ6U1MVXOaj8PK2l7WJ3RER9xtqwdhxkhw/edit?usp=sharing"",""นครปฐม!J308"")"),1.0)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IFERROR(__xludf.DUMMYFUNCTION("IMPORTRANGE(""https://docs.google.com/spreadsheets/d/1SX6NBoVAgQJ6U1MVXOaj8PK2l7WJ3RER9xtqwdhxkhw/edit?usp=sharing"",""นครปฐม!J309"")"),1.0)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IFERROR(__xludf.DUMMYFUNCTION("IMPORTRANGE(""https://docs.google.com/spreadsheets/d/1SX6NBoVAgQJ6U1MVXOaj8PK2l7WJ3RER9xtqwdhxkhw/edit?usp=sharing"",""นครปฐม!J310"")"),1.0)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IFERROR(__xludf.DUMMYFUNCTION("IMPORTRANGE(""https://docs.google.com/spreadsheets/d/1SX6NBoVAgQJ6U1MVXOaj8PK2l7WJ3RER9xtqwdhxkhw/edit?usp=sharing"",""นครปฐม!I311"")"),50.0)</f>
        <v>50</v>
      </c>
      <c r="J416" s="235">
        <f>IFERROR(__xludf.DUMMYFUNCTION("IMPORTRANGE(""https://docs.google.com/spreadsheets/d/1SX6NBoVAgQJ6U1MVXOaj8PK2l7WJ3RER9xtqwdhxkhw/edit?usp=sharing"",""นครปฐม!J311"")"),0.0)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IFERROR(__xludf.DUMMYFUNCTION("IMPORTRANGE(""https://docs.google.com/spreadsheets/d/1SX6NBoVAgQJ6U1MVXOaj8PK2l7WJ3RER9xtqwdhxkhw/edit?usp=sharing"",""นครปฐม!I312"")"),0.0)</f>
        <v>0</v>
      </c>
      <c r="J417" s="425">
        <f>IFERROR(__xludf.DUMMYFUNCTION("IMPORTRANGE(""https://docs.google.com/spreadsheets/d/1SX6NBoVAgQJ6U1MVXOaj8PK2l7WJ3RER9xtqwdhxkhw/edit?usp=sharing"",""นครปฐม!J312"")"),0.0)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IFERROR(__xludf.DUMMYFUNCTION("IMPORTRANGE(""https://docs.google.com/spreadsheets/d/1SX6NBoVAgQJ6U1MVXOaj8PK2l7WJ3RER9xtqwdhxkhw/edit?usp=sharing"",""นครปฐม!I313"")"),0.0)</f>
        <v>0</v>
      </c>
      <c r="J418" s="426">
        <f>IFERROR(__xludf.DUMMYFUNCTION("IMPORTRANGE(""https://docs.google.com/spreadsheets/d/1SX6NBoVAgQJ6U1MVXOaj8PK2l7WJ3RER9xtqwdhxkhw/edit?usp=sharing"",""นครปฐม!J313"")"),0.0)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IFERROR(__xludf.DUMMYFUNCTION("IMPORTRANGE(""https://docs.google.com/spreadsheets/d/1SX6NBoVAgQJ6U1MVXOaj8PK2l7WJ3RER9xtqwdhxkhw/edit?usp=sharing"",""นครปฐม!I314"")"),0.0)</f>
        <v>0</v>
      </c>
      <c r="J419" s="427">
        <f>IFERROR(__xludf.DUMMYFUNCTION("IMPORTRANGE(""https://docs.google.com/spreadsheets/d/1SX6NBoVAgQJ6U1MVXOaj8PK2l7WJ3RER9xtqwdhxkhw/edit?usp=sharing"",""นครปฐม!J314"")"),0.0)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IFERROR(__xludf.DUMMYFUNCTION("IMPORTRANGE(""https://docs.google.com/spreadsheets/d/1SX6NBoVAgQJ6U1MVXOaj8PK2l7WJ3RER9xtqwdhxkhw/edit?usp=sharing"",""นครปฐม!I315"")"),0.0)</f>
        <v>0</v>
      </c>
      <c r="J420" s="427">
        <f>IFERROR(__xludf.DUMMYFUNCTION("IMPORTRANGE(""https://docs.google.com/spreadsheets/d/1SX6NBoVAgQJ6U1MVXOaj8PK2l7WJ3RER9xtqwdhxkhw/edit?usp=sharing"",""นครปฐม!J315"")"),0.0)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IFERROR(__xludf.DUMMYFUNCTION("IMPORTRANGE(""https://docs.google.com/spreadsheets/d/1SX6NBoVAgQJ6U1MVXOaj8PK2l7WJ3RER9xtqwdhxkhw/edit?usp=sharing"",""นครปฐม!I316"")"),40.0)</f>
        <v>40</v>
      </c>
      <c r="J421" s="425">
        <f>IFERROR(__xludf.DUMMYFUNCTION("IMPORTRANGE(""https://docs.google.com/spreadsheets/d/1SX6NBoVAgQJ6U1MVXOaj8PK2l7WJ3RER9xtqwdhxkhw/edit?usp=sharing"",""นครปฐม!J316"")"),0.0)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IFERROR(__xludf.DUMMYFUNCTION("IMPORTRANGE(""https://docs.google.com/spreadsheets/d/1SX6NBoVAgQJ6U1MVXOaj8PK2l7WJ3RER9xtqwdhxkhw/edit?usp=sharing"",""นครปฐม!I317"")"),120.0)</f>
        <v>120</v>
      </c>
      <c r="J422" s="426">
        <f>IFERROR(__xludf.DUMMYFUNCTION("IMPORTRANGE(""https://docs.google.com/spreadsheets/d/1SX6NBoVAgQJ6U1MVXOaj8PK2l7WJ3RER9xtqwdhxkhw/edit?usp=sharing"",""นครปฐม!J317"")"),0.0)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IFERROR(__xludf.DUMMYFUNCTION("IMPORTRANGE(""https://docs.google.com/spreadsheets/d/1SX6NBoVAgQJ6U1MVXOaj8PK2l7WJ3RER9xtqwdhxkhw/edit?usp=sharing"",""นครปฐม!I318"")"),40.0)</f>
        <v>40</v>
      </c>
      <c r="J423" s="427">
        <f>IFERROR(__xludf.DUMMYFUNCTION("IMPORTRANGE(""https://docs.google.com/spreadsheets/d/1SX6NBoVAgQJ6U1MVXOaj8PK2l7WJ3RER9xtqwdhxkhw/edit?usp=sharing"",""นครปฐม!J318"")"),40.0)</f>
        <v>40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IFERROR(__xludf.DUMMYFUNCTION("IMPORTRANGE(""https://docs.google.com/spreadsheets/d/1SX6NBoVAgQJ6U1MVXOaj8PK2l7WJ3RER9xtqwdhxkhw/edit?usp=sharing"",""นครปฐม!I319"")"),40.0)</f>
        <v>40</v>
      </c>
      <c r="J424" s="427">
        <f>IFERROR(__xludf.DUMMYFUNCTION("IMPORTRANGE(""https://docs.google.com/spreadsheets/d/1SX6NBoVAgQJ6U1MVXOaj8PK2l7WJ3RER9xtqwdhxkhw/edit?usp=sharing"",""นครปฐม!J319"")"),0.0)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IFERROR(__xludf.DUMMYFUNCTION("IMPORTRANGE(""https://docs.google.com/spreadsheets/d/1SX6NBoVAgQJ6U1MVXOaj8PK2l7WJ3RER9xtqwdhxkhw/edit?usp=sharing"",""นครปฐม!I320"")"),40.0)</f>
        <v>40</v>
      </c>
      <c r="J425" s="427">
        <f>IFERROR(__xludf.DUMMYFUNCTION("IMPORTRANGE(""https://docs.google.com/spreadsheets/d/1SX6NBoVAgQJ6U1MVXOaj8PK2l7WJ3RER9xtqwdhxkhw/edit?usp=sharing"",""นครปฐม!J320"")"),0.0)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IFERROR(__xludf.DUMMYFUNCTION("IMPORTRANGE(""https://docs.google.com/spreadsheets/d/1SX6NBoVAgQJ6U1MVXOaj8PK2l7WJ3RER9xtqwdhxkhw/edit?usp=sharing"",""นครปฐม!I321"")"),10.0)</f>
        <v>10</v>
      </c>
      <c r="J426" s="425">
        <f>IFERROR(__xludf.DUMMYFUNCTION("IMPORTRANGE(""https://docs.google.com/spreadsheets/d/1SX6NBoVAgQJ6U1MVXOaj8PK2l7WJ3RER9xtqwdhxkhw/edit?usp=sharing"",""นครปฐม!J321"")"),0.0)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IFERROR(__xludf.DUMMYFUNCTION("IMPORTRANGE(""https://docs.google.com/spreadsheets/d/1SX6NBoVAgQJ6U1MVXOaj8PK2l7WJ3RER9xtqwdhxkhw/edit?usp=sharing"",""นครปฐม!I322"")"),30.0)</f>
        <v>30</v>
      </c>
      <c r="J427" s="426">
        <f>IFERROR(__xludf.DUMMYFUNCTION("IMPORTRANGE(""https://docs.google.com/spreadsheets/d/1SX6NBoVAgQJ6U1MVXOaj8PK2l7WJ3RER9xtqwdhxkhw/edit?usp=sharing"",""นครปฐม!J322"")"),0.0)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IFERROR(__xludf.DUMMYFUNCTION("IMPORTRANGE(""https://docs.google.com/spreadsheets/d/1SX6NBoVAgQJ6U1MVXOaj8PK2l7WJ3RER9xtqwdhxkhw/edit?usp=sharing"",""นครปฐม!I323"")"),10.0)</f>
        <v>10</v>
      </c>
      <c r="J428" s="427">
        <f>IFERROR(__xludf.DUMMYFUNCTION("IMPORTRANGE(""https://docs.google.com/spreadsheets/d/1SX6NBoVAgQJ6U1MVXOaj8PK2l7WJ3RER9xtqwdhxkhw/edit?usp=sharing"",""นครปฐม!J323"")"),10.0)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IFERROR(__xludf.DUMMYFUNCTION("IMPORTRANGE(""https://docs.google.com/spreadsheets/d/1SX6NBoVAgQJ6U1MVXOaj8PK2l7WJ3RER9xtqwdhxkhw/edit?usp=sharing"",""นครปฐม!I324"")"),10.0)</f>
        <v>10</v>
      </c>
      <c r="J429" s="427">
        <f>IFERROR(__xludf.DUMMYFUNCTION("IMPORTRANGE(""https://docs.google.com/spreadsheets/d/1SX6NBoVAgQJ6U1MVXOaj8PK2l7WJ3RER9xtqwdhxkhw/edit?usp=sharing"",""นครปฐม!J324"")"),0.0)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IFERROR(__xludf.DUMMYFUNCTION("IMPORTRANGE(""https://docs.google.com/spreadsheets/d/1SX6NBoVAgQJ6U1MVXOaj8PK2l7WJ3RER9xtqwdhxkhw/edit?usp=sharing"",""นครปฐม!I325"")"),40.0)</f>
        <v>40</v>
      </c>
      <c r="J430" s="425">
        <f>IFERROR(__xludf.DUMMYFUNCTION("IMPORTRANGE(""https://docs.google.com/spreadsheets/d/1SX6NBoVAgQJ6U1MVXOaj8PK2l7WJ3RER9xtqwdhxkhw/edit?usp=sharing"",""นครปฐม!J325"")"),0.0)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IFERROR(__xludf.DUMMYFUNCTION("IMPORTRANGE(""https://docs.google.com/spreadsheets/d/1SX6NBoVAgQJ6U1MVXOaj8PK2l7WJ3RER9xtqwdhxkhw/edit?usp=sharing"",""นครปฐม!I326"")"),0.0)</f>
        <v>0</v>
      </c>
      <c r="J431" s="427">
        <f>IFERROR(__xludf.DUMMYFUNCTION("IMPORTRANGE(""https://docs.google.com/spreadsheets/d/1SX6NBoVAgQJ6U1MVXOaj8PK2l7WJ3RER9xtqwdhxkhw/edit?usp=sharing"",""นครปฐม!J326"")"),0.0)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IFERROR(__xludf.DUMMYFUNCTION("IMPORTRANGE(""https://docs.google.com/spreadsheets/d/1SX6NBoVAgQJ6U1MVXOaj8PK2l7WJ3RER9xtqwdhxkhw/edit?usp=sharing"",""นครปฐม!I327"")"),40.0)</f>
        <v>40</v>
      </c>
      <c r="J432" s="427">
        <f>IFERROR(__xludf.DUMMYFUNCTION("IMPORTRANGE(""https://docs.google.com/spreadsheets/d/1SX6NBoVAgQJ6U1MVXOaj8PK2l7WJ3RER9xtqwdhxkhw/edit?usp=sharing"",""นครปฐม!J327"")"),0.0)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IFERROR(__xludf.DUMMYFUNCTION("IMPORTRANGE(""https://docs.google.com/spreadsheets/d/1SX6NBoVAgQJ6U1MVXOaj8PK2l7WJ3RER9xtqwdhxkhw/edit?usp=sharing"",""นครปฐม!J328"")"),0.0)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IFERROR(__xludf.DUMMYFUNCTION("IMPORTRANGE(""https://docs.google.com/spreadsheets/d/1SX6NBoVAgQJ6U1MVXOaj8PK2l7WJ3RER9xtqwdhxkhw/edit?usp=sharing"",""นครปฐม!J329"")"),0.0)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IFERROR(__xludf.DUMMYFUNCTION("IMPORTRANGE(""https://docs.google.com/spreadsheets/d/1SX6NBoVAgQJ6U1MVXOaj8PK2l7WJ3RER9xtqwdhxkhw/edit?usp=sharing"",""นครปฐม!I330"")"),10.0)</f>
        <v>10</v>
      </c>
      <c r="J435" s="443">
        <f>IFERROR(__xludf.DUMMYFUNCTION("IMPORTRANGE(""https://docs.google.com/spreadsheets/d/1SX6NBoVAgQJ6U1MVXOaj8PK2l7WJ3RER9xtqwdhxkhw/edit?usp=sharing"",""นครปฐม!J330"")"),0.0)</f>
        <v>0</v>
      </c>
      <c r="K435" s="444">
        <f>IF(I435&gt;0,J435*100/I435,0)</f>
        <v>0</v>
      </c>
      <c r="L435" s="445">
        <f>IFERROR(__xludf.DUMMYFUNCTION("IMPORTRANGE(""https://docs.google.com/spreadsheets/d/1SX6NBoVAgQJ6U1MVXOaj8PK2l7WJ3RER9xtqwdhxkhw/edit?usp=sharing"",""นครปฐม!L330"")"),71000.0)</f>
        <v>71000</v>
      </c>
      <c r="M435" s="445"/>
      <c r="N435" s="445">
        <f>IFERROR(__xludf.DUMMYFUNCTION("IMPORTRANGE(""https://docs.google.com/spreadsheets/d/1SX6NBoVAgQJ6U1MVXOaj8PK2l7WJ3RER9xtqwdhxkhw/edit?usp=sharing"",""นครปฐม!M330"")"),3335.0)</f>
        <v>3335</v>
      </c>
      <c r="O435" s="445">
        <f t="shared" ref="O435:O439" si="115">+IF(L435&gt;0,N435*100/L435,0)</f>
        <v>4.697183099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IFERROR(__xludf.DUMMYFUNCTION("IMPORTRANGE(""https://docs.google.com/spreadsheets/d/1SX6NBoVAgQJ6U1MVXOaj8PK2l7WJ3RER9xtqwdhxkhw/edit?usp=sharing"",""นครปฐม!L331"")"),0.0)</f>
        <v>0</v>
      </c>
      <c r="M436" s="197"/>
      <c r="N436" s="203">
        <f>IFERROR(__xludf.DUMMYFUNCTION("IMPORTRANGE(""https://docs.google.com/spreadsheets/d/1SX6NBoVAgQJ6U1MVXOaj8PK2l7WJ3RER9xtqwdhxkhw/edit?usp=sharing"",""นครปฐม!M331"")"),0.0)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IFERROR(__xludf.DUMMYFUNCTION("IMPORTRANGE(""https://docs.google.com/spreadsheets/d/1SX6NBoVAgQJ6U1MVXOaj8PK2l7WJ3RER9xtqwdhxkhw/edit?usp=sharing"",""นครปฐม!L332"")"),71000.0)</f>
        <v>71000</v>
      </c>
      <c r="M437" s="198"/>
      <c r="N437" s="203">
        <f>IFERROR(__xludf.DUMMYFUNCTION("IMPORTRANGE(""https://docs.google.com/spreadsheets/d/1SX6NBoVAgQJ6U1MVXOaj8PK2l7WJ3RER9xtqwdhxkhw/edit?usp=sharing"",""นครปฐม!M332"")"),3335.0)</f>
        <v>3335</v>
      </c>
      <c r="O437" s="203">
        <f t="shared" si="115"/>
        <v>4.697183099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IFERROR(__xludf.DUMMYFUNCTION("IMPORTRANGE(""https://docs.google.com/spreadsheets/d/1SX6NBoVAgQJ6U1MVXOaj8PK2l7WJ3RER9xtqwdhxkhw/edit?usp=sharing"",""นครปฐม!L333"")"),0.0)</f>
        <v>0</v>
      </c>
      <c r="M438" s="203"/>
      <c r="N438" s="203">
        <f>IFERROR(__xludf.DUMMYFUNCTION("IMPORTRANGE(""https://docs.google.com/spreadsheets/d/1SX6NBoVAgQJ6U1MVXOaj8PK2l7WJ3RER9xtqwdhxkhw/edit?usp=sharing"",""นครปฐม!M333"")"),0.0)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IFERROR(__xludf.DUMMYFUNCTION("IMPORTRANGE(""https://docs.google.com/spreadsheets/d/1SX6NBoVAgQJ6U1MVXOaj8PK2l7WJ3RER9xtqwdhxkhw/edit?usp=sharing"",""นครปฐม!L334"")"),71000.0)</f>
        <v>71000</v>
      </c>
      <c r="M439" s="203"/>
      <c r="N439" s="203">
        <f>IFERROR(__xludf.DUMMYFUNCTION("IMPORTRANGE(""https://docs.google.com/spreadsheets/d/1SX6NBoVAgQJ6U1MVXOaj8PK2l7WJ3RER9xtqwdhxkhw/edit?usp=sharing"",""นครปฐม!M334"")"),3335.0)</f>
        <v>3335</v>
      </c>
      <c r="O439" s="203">
        <f t="shared" si="115"/>
        <v>4.697183099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IFERROR(__xludf.DUMMYFUNCTION("IMPORTRANGE(""https://docs.google.com/spreadsheets/d/1SX6NBoVAgQJ6U1MVXOaj8PK2l7WJ3RER9xtqwdhxkhw/edit?usp=sharing"",""นครปฐม!M335"")"),0.0)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IFERROR(__xludf.DUMMYFUNCTION("IMPORTRANGE(""https://docs.google.com/spreadsheets/d/1SX6NBoVAgQJ6U1MVXOaj8PK2l7WJ3RER9xtqwdhxkhw/edit?usp=sharing"",""นครปฐม!M336"")"),0.0)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IFERROR(__xludf.DUMMYFUNCTION("IMPORTRANGE(""https://docs.google.com/spreadsheets/d/1SX6NBoVAgQJ6U1MVXOaj8PK2l7WJ3RER9xtqwdhxkhw/edit?usp=sharing"",""นครปฐม!M337"")"),0.0)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IFERROR(__xludf.DUMMYFUNCTION("IMPORTRANGE(""https://docs.google.com/spreadsheets/d/1SX6NBoVAgQJ6U1MVXOaj8PK2l7WJ3RER9xtqwdhxkhw/edit?usp=sharing"",""นครปฐม!M338"")"),3335.0)</f>
        <v>3335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IFERROR(__xludf.DUMMYFUNCTION("IMPORTRANGE(""https://docs.google.com/spreadsheets/d/1SX6NBoVAgQJ6U1MVXOaj8PK2l7WJ3RER9xtqwdhxkhw/edit?usp=sharing"",""นครปฐม!J340"")"),0.0)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IFERROR(__xludf.DUMMYFUNCTION("IMPORTRANGE(""https://docs.google.com/spreadsheets/d/1SX6NBoVAgQJ6U1MVXOaj8PK2l7WJ3RER9xtqwdhxkhw/edit?usp=sharing"",""นครปฐม!J341"")"),1.0)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IFERROR(__xludf.DUMMYFUNCTION("IMPORTRANGE(""https://docs.google.com/spreadsheets/d/1SX6NBoVAgQJ6U1MVXOaj8PK2l7WJ3RER9xtqwdhxkhw/edit?usp=sharing"",""นครปฐม!J342"")"),1.0)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IFERROR(__xludf.DUMMYFUNCTION("IMPORTRANGE(""https://docs.google.com/spreadsheets/d/1SX6NBoVAgQJ6U1MVXOaj8PK2l7WJ3RER9xtqwdhxkhw/edit?usp=sharing"",""นครปฐม!J343"")"),1.0)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IFERROR(__xludf.DUMMYFUNCTION("IMPORTRANGE(""https://docs.google.com/spreadsheets/d/1SX6NBoVAgQJ6U1MVXOaj8PK2l7WJ3RER9xtqwdhxkhw/edit?usp=sharing"",""นครปฐม!I344"")"),10.0)</f>
        <v>10</v>
      </c>
      <c r="J449" s="235">
        <f>IFERROR(__xludf.DUMMYFUNCTION("IMPORTRANGE(""https://docs.google.com/spreadsheets/d/1SX6NBoVAgQJ6U1MVXOaj8PK2l7WJ3RER9xtqwdhxkhw/edit?usp=sharing"",""นครปฐม!J344"")"),0.0)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IFERROR(__xludf.DUMMYFUNCTION("IMPORTRANGE(""https://docs.google.com/spreadsheets/d/1SX6NBoVAgQJ6U1MVXOaj8PK2l7WJ3RER9xtqwdhxkhw/edit?usp=sharing"",""นครปฐม!I345"")"),10.0)</f>
        <v>10</v>
      </c>
      <c r="J450" s="223">
        <f>IFERROR(__xludf.DUMMYFUNCTION("IMPORTRANGE(""https://docs.google.com/spreadsheets/d/1SX6NBoVAgQJ6U1MVXOaj8PK2l7WJ3RER9xtqwdhxkhw/edit?usp=sharing"",""นครปฐม!J345"")"),0.0)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IFERROR(__xludf.DUMMYFUNCTION("IMPORTRANGE(""https://docs.google.com/spreadsheets/d/1SX6NBoVAgQJ6U1MVXOaj8PK2l7WJ3RER9xtqwdhxkhw/edit?usp=sharing"",""นครปฐม!I346"")"),0.0)</f>
        <v>0</v>
      </c>
      <c r="J451" s="222">
        <f>IFERROR(__xludf.DUMMYFUNCTION("IMPORTRANGE(""https://docs.google.com/spreadsheets/d/1SX6NBoVAgQJ6U1MVXOaj8PK2l7WJ3RER9xtqwdhxkhw/edit?usp=sharing"",""นครปฐม!J346"")"),0.0)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IFERROR(__xludf.DUMMYFUNCTION("IMPORTRANGE(""https://docs.google.com/spreadsheets/d/1SX6NBoVAgQJ6U1MVXOaj8PK2l7WJ3RER9xtqwdhxkhw/edit?usp=sharing"",""นครปฐม!I347"")"),0.0)</f>
        <v>0</v>
      </c>
      <c r="J452" s="222">
        <f>IFERROR(__xludf.DUMMYFUNCTION("IMPORTRANGE(""https://docs.google.com/spreadsheets/d/1SX6NBoVAgQJ6U1MVXOaj8PK2l7WJ3RER9xtqwdhxkhw/edit?usp=sharing"",""นครปฐม!J347"")"),0.0)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IFERROR(__xludf.DUMMYFUNCTION("IMPORTRANGE(""https://docs.google.com/spreadsheets/d/1SX6NBoVAgQJ6U1MVXOaj8PK2l7WJ3RER9xtqwdhxkhw/edit?usp=sharing"",""นครปฐม!J348"")"),0.0)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IFERROR(__xludf.DUMMYFUNCTION("IMPORTRANGE(""https://docs.google.com/spreadsheets/d/1SX6NBoVAgQJ6U1MVXOaj8PK2l7WJ3RER9xtqwdhxkhw/edit?usp=sharing"",""นครปฐม!J349"")"),0.0)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IFERROR(__xludf.DUMMYFUNCTION("IMPORTRANGE(""https://docs.google.com/spreadsheets/d/1SX6NBoVAgQJ6U1MVXOaj8PK2l7WJ3RER9xtqwdhxkhw/edit?usp=sharing"",""นครปฐม!I350"")"),0.0)</f>
        <v>0</v>
      </c>
      <c r="J455" s="404">
        <f>IFERROR(__xludf.DUMMYFUNCTION("IMPORTRANGE(""https://docs.google.com/spreadsheets/d/1SX6NBoVAgQJ6U1MVXOaj8PK2l7WJ3RER9xtqwdhxkhw/edit?usp=sharing"",""นครปฐม!J350"")"),0.0)</f>
        <v>0</v>
      </c>
      <c r="K455" s="405">
        <f>IF(I455&gt;0,J455*100/I455,0)</f>
        <v>0</v>
      </c>
      <c r="L455" s="406">
        <f>IFERROR(__xludf.DUMMYFUNCTION("IMPORTRANGE(""https://docs.google.com/spreadsheets/d/1SX6NBoVAgQJ6U1MVXOaj8PK2l7WJ3RER9xtqwdhxkhw/edit?usp=sharing"",""นครปฐม!L350"")"),0.0)</f>
        <v>0</v>
      </c>
      <c r="M455" s="406"/>
      <c r="N455" s="406">
        <f>IFERROR(__xludf.DUMMYFUNCTION("IMPORTRANGE(""https://docs.google.com/spreadsheets/d/1SX6NBoVAgQJ6U1MVXOaj8PK2l7WJ3RER9xtqwdhxkhw/edit?usp=sharing"",""นครปฐม!M350"")"),0.0)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IFERROR(__xludf.DUMMYFUNCTION("IMPORTRANGE(""https://docs.google.com/spreadsheets/d/1SX6NBoVAgQJ6U1MVXOaj8PK2l7WJ3RER9xtqwdhxkhw/edit?usp=sharing"",""นครปฐม!L351"")"),0.0)</f>
        <v>0</v>
      </c>
      <c r="M456" s="197"/>
      <c r="N456" s="203">
        <f>IFERROR(__xludf.DUMMYFUNCTION("IMPORTRANGE(""https://docs.google.com/spreadsheets/d/1SX6NBoVAgQJ6U1MVXOaj8PK2l7WJ3RER9xtqwdhxkhw/edit?usp=sharing"",""นครปฐม!M351"")"),0.0)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IFERROR(__xludf.DUMMYFUNCTION("IMPORTRANGE(""https://docs.google.com/spreadsheets/d/1SX6NBoVAgQJ6U1MVXOaj8PK2l7WJ3RER9xtqwdhxkhw/edit?usp=sharing"",""นครปฐม!L352"")"),0.0)</f>
        <v>0</v>
      </c>
      <c r="M457" s="198"/>
      <c r="N457" s="203">
        <f>IFERROR(__xludf.DUMMYFUNCTION("IMPORTRANGE(""https://docs.google.com/spreadsheets/d/1SX6NBoVAgQJ6U1MVXOaj8PK2l7WJ3RER9xtqwdhxkhw/edit?usp=sharing"",""นครปฐม!M352"")"),0.0)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IFERROR(__xludf.DUMMYFUNCTION("IMPORTRANGE(""https://docs.google.com/spreadsheets/d/1SX6NBoVAgQJ6U1MVXOaj8PK2l7WJ3RER9xtqwdhxkhw/edit?usp=sharing"",""นครปฐม!L353"")"),0.0)</f>
        <v>0</v>
      </c>
      <c r="M458" s="203"/>
      <c r="N458" s="203">
        <f>IFERROR(__xludf.DUMMYFUNCTION("IMPORTRANGE(""https://docs.google.com/spreadsheets/d/1SX6NBoVAgQJ6U1MVXOaj8PK2l7WJ3RER9xtqwdhxkhw/edit?usp=sharing"",""นครปฐม!M353"")"),0.0)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IFERROR(__xludf.DUMMYFUNCTION("IMPORTRANGE(""https://docs.google.com/spreadsheets/d/1SX6NBoVAgQJ6U1MVXOaj8PK2l7WJ3RER9xtqwdhxkhw/edit?usp=sharing"",""นครปฐม!L354"")"),0.0)</f>
        <v>0</v>
      </c>
      <c r="M459" s="203"/>
      <c r="N459" s="203">
        <f>IFERROR(__xludf.DUMMYFUNCTION("IMPORTRANGE(""https://docs.google.com/spreadsheets/d/1SX6NBoVAgQJ6U1MVXOaj8PK2l7WJ3RER9xtqwdhxkhw/edit?usp=sharing"",""นครปฐม!M354"")"),0.0)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IFERROR(__xludf.DUMMYFUNCTION("IMPORTRANGE(""https://docs.google.com/spreadsheets/d/1SX6NBoVAgQJ6U1MVXOaj8PK2l7WJ3RER9xtqwdhxkhw/edit?usp=sharing"",""นครปฐม!M355"")"),0.0)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IFERROR(__xludf.DUMMYFUNCTION("IMPORTRANGE(""https://docs.google.com/spreadsheets/d/1SX6NBoVAgQJ6U1MVXOaj8PK2l7WJ3RER9xtqwdhxkhw/edit?usp=sharing"",""นครปฐม!M356"")"),0.0)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IFERROR(__xludf.DUMMYFUNCTION("IMPORTRANGE(""https://docs.google.com/spreadsheets/d/1SX6NBoVAgQJ6U1MVXOaj8PK2l7WJ3RER9xtqwdhxkhw/edit?usp=sharing"",""นครปฐม!M357"")"),0.0)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IFERROR(__xludf.DUMMYFUNCTION("IMPORTRANGE(""https://docs.google.com/spreadsheets/d/1SX6NBoVAgQJ6U1MVXOaj8PK2l7WJ3RER9xtqwdhxkhw/edit?usp=sharing"",""นครปฐม!M358"")"),0.0)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IFERROR(__xludf.DUMMYFUNCTION("IMPORTRANGE(""https://docs.google.com/spreadsheets/d/1SX6NBoVAgQJ6U1MVXOaj8PK2l7WJ3RER9xtqwdhxkhw/edit?usp=sharing"",""นครปฐม!I359"")"),0.0)</f>
        <v>0</v>
      </c>
      <c r="J464" s="301">
        <f>IFERROR(__xludf.DUMMYFUNCTION("IMPORTRANGE(""https://docs.google.com/spreadsheets/d/1SX6NBoVAgQJ6U1MVXOaj8PK2l7WJ3RER9xtqwdhxkhw/edit?usp=sharing"",""นครปฐม!J359"")"),0.0)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IFERROR(__xludf.DUMMYFUNCTION("IMPORTRANGE(""https://docs.google.com/spreadsheets/d/1SX6NBoVAgQJ6U1MVXOaj8PK2l7WJ3RER9xtqwdhxkhw/edit?usp=sharing"",""นครปฐม!I360"")"),0.0)</f>
        <v>0</v>
      </c>
      <c r="J465" s="453">
        <f>IFERROR(__xludf.DUMMYFUNCTION("IMPORTRANGE(""https://docs.google.com/spreadsheets/d/1SX6NBoVAgQJ6U1MVXOaj8PK2l7WJ3RER9xtqwdhxkhw/edit?usp=sharing"",""นครปฐม!J360"")"),0.0)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IFERROR(__xludf.DUMMYFUNCTION("IMPORTRANGE(""https://docs.google.com/spreadsheets/d/1SX6NBoVAgQJ6U1MVXOaj8PK2l7WJ3RER9xtqwdhxkhw/edit?usp=sharing"",""นครปฐม!I361"")"),0.0)</f>
        <v>0</v>
      </c>
      <c r="J466" s="453">
        <f>IFERROR(__xludf.DUMMYFUNCTION("IMPORTRANGE(""https://docs.google.com/spreadsheets/d/1SX6NBoVAgQJ6U1MVXOaj8PK2l7WJ3RER9xtqwdhxkhw/edit?usp=sharing"",""นครปฐม!J361"")"),0.0)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IFERROR(__xludf.DUMMYFUNCTION("IMPORTRANGE(""https://docs.google.com/spreadsheets/d/1SX6NBoVAgQJ6U1MVXOaj8PK2l7WJ3RER9xtqwdhxkhw/edit?usp=sharing"",""นครปฐม!I362"")"),0.0)</f>
        <v>0</v>
      </c>
      <c r="J467" s="223">
        <f>IFERROR(__xludf.DUMMYFUNCTION("IMPORTRANGE(""https://docs.google.com/spreadsheets/d/1SX6NBoVAgQJ6U1MVXOaj8PK2l7WJ3RER9xtqwdhxkhw/edit?usp=sharing"",""นครปฐม!J362"")"),0.0)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IFERROR(__xludf.DUMMYFUNCTION("IMPORTRANGE(""https://docs.google.com/spreadsheets/d/1SX6NBoVAgQJ6U1MVXOaj8PK2l7WJ3RER9xtqwdhxkhw/edit?usp=sharing"",""นครปฐม!I363"")"),0.0)</f>
        <v>0</v>
      </c>
      <c r="J468" s="223">
        <f>IFERROR(__xludf.DUMMYFUNCTION("IMPORTRANGE(""https://docs.google.com/spreadsheets/d/1SX6NBoVAgQJ6U1MVXOaj8PK2l7WJ3RER9xtqwdhxkhw/edit?usp=sharing"",""นครปฐม!J363"")"),0.0)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IFERROR(__xludf.DUMMYFUNCTION("IMPORTRANGE(""https://docs.google.com/spreadsheets/d/1SX6NBoVAgQJ6U1MVXOaj8PK2l7WJ3RER9xtqwdhxkhw/edit?usp=sharing"",""นครปฐม!I364"")"),0.0)</f>
        <v>0</v>
      </c>
      <c r="J469" s="223">
        <f>IFERROR(__xludf.DUMMYFUNCTION("IMPORTRANGE(""https://docs.google.com/spreadsheets/d/1SX6NBoVAgQJ6U1MVXOaj8PK2l7WJ3RER9xtqwdhxkhw/edit?usp=sharing"",""นครปฐม!J364"")"),0.0)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IFERROR(__xludf.DUMMYFUNCTION("IMPORTRANGE(""https://docs.google.com/spreadsheets/d/1SX6NBoVAgQJ6U1MVXOaj8PK2l7WJ3RER9xtqwdhxkhw/edit?usp=sharing"",""นครปฐม!I365"")"),0.0)</f>
        <v>0</v>
      </c>
      <c r="J470" s="223">
        <f>IFERROR(__xludf.DUMMYFUNCTION("IMPORTRANGE(""https://docs.google.com/spreadsheets/d/1SX6NBoVAgQJ6U1MVXOaj8PK2l7WJ3RER9xtqwdhxkhw/edit?usp=sharing"",""นครปฐม!J365"")"),0.0)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IFERROR(__xludf.DUMMYFUNCTION("IMPORTRANGE(""https://docs.google.com/spreadsheets/d/1SX6NBoVAgQJ6U1MVXOaj8PK2l7WJ3RER9xtqwdhxkhw/edit?usp=sharing"",""นครปฐม!I366"")"),0.0)</f>
        <v>0</v>
      </c>
      <c r="J471" s="223">
        <f>IFERROR(__xludf.DUMMYFUNCTION("IMPORTRANGE(""https://docs.google.com/spreadsheets/d/1SX6NBoVAgQJ6U1MVXOaj8PK2l7WJ3RER9xtqwdhxkhw/edit?usp=sharing"",""นครปฐม!J366"")"),0.0)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IFERROR(__xludf.DUMMYFUNCTION("IMPORTRANGE(""https://docs.google.com/spreadsheets/d/1SX6NBoVAgQJ6U1MVXOaj8PK2l7WJ3RER9xtqwdhxkhw/edit?usp=sharing"",""นครปฐม!I367"")"),0.0)</f>
        <v>0</v>
      </c>
      <c r="J472" s="223">
        <f>IFERROR(__xludf.DUMMYFUNCTION("IMPORTRANGE(""https://docs.google.com/spreadsheets/d/1SX6NBoVAgQJ6U1MVXOaj8PK2l7WJ3RER9xtqwdhxkhw/edit?usp=sharing"",""นครปฐม!J367"")"),0.0)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IFERROR(__xludf.DUMMYFUNCTION("IMPORTRANGE(""https://docs.google.com/spreadsheets/d/1SX6NBoVAgQJ6U1MVXOaj8PK2l7WJ3RER9xtqwdhxkhw/edit?usp=sharing"",""นครปฐม!I368"")"),0.0)</f>
        <v>0</v>
      </c>
      <c r="J473" s="453">
        <f>IFERROR(__xludf.DUMMYFUNCTION("IMPORTRANGE(""https://docs.google.com/spreadsheets/d/1SX6NBoVAgQJ6U1MVXOaj8PK2l7WJ3RER9xtqwdhxkhw/edit?usp=sharing"",""นครปฐม!J368"")"),0.0)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IFERROR(__xludf.DUMMYFUNCTION("IMPORTRANGE(""https://docs.google.com/spreadsheets/d/1SX6NBoVAgQJ6U1MVXOaj8PK2l7WJ3RER9xtqwdhxkhw/edit?usp=sharing"",""นครปฐม!I369"")"),0.0)</f>
        <v>0</v>
      </c>
      <c r="J474" s="453">
        <f>IFERROR(__xludf.DUMMYFUNCTION("IMPORTRANGE(""https://docs.google.com/spreadsheets/d/1SX6NBoVAgQJ6U1MVXOaj8PK2l7WJ3RER9xtqwdhxkhw/edit?usp=sharing"",""นครปฐม!J369"")"),0.0)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IFERROR(__xludf.DUMMYFUNCTION("IMPORTRANGE(""https://docs.google.com/spreadsheets/d/1SX6NBoVAgQJ6U1MVXOaj8PK2l7WJ3RER9xtqwdhxkhw/edit?usp=sharing"",""นครปฐม!I370"")"),0.0)</f>
        <v>0</v>
      </c>
      <c r="J475" s="223">
        <f>IFERROR(__xludf.DUMMYFUNCTION("IMPORTRANGE(""https://docs.google.com/spreadsheets/d/1SX6NBoVAgQJ6U1MVXOaj8PK2l7WJ3RER9xtqwdhxkhw/edit?usp=sharing"",""นครปฐม!J370"")"),0.0)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IFERROR(__xludf.DUMMYFUNCTION("IMPORTRANGE(""https://docs.google.com/spreadsheets/d/1SX6NBoVAgQJ6U1MVXOaj8PK2l7WJ3RER9xtqwdhxkhw/edit?usp=sharing"",""นครปฐม!I371"")"),0.0)</f>
        <v>0</v>
      </c>
      <c r="J476" s="223">
        <f>IFERROR(__xludf.DUMMYFUNCTION("IMPORTRANGE(""https://docs.google.com/spreadsheets/d/1SX6NBoVAgQJ6U1MVXOaj8PK2l7WJ3RER9xtqwdhxkhw/edit?usp=sharing"",""นครปฐม!J371"")"),0.0)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IFERROR(__xludf.DUMMYFUNCTION("IMPORTRANGE(""https://docs.google.com/spreadsheets/d/1SX6NBoVAgQJ6U1MVXOaj8PK2l7WJ3RER9xtqwdhxkhw/edit?usp=sharing"",""นครปฐม!I372"")"),0.0)</f>
        <v>0</v>
      </c>
      <c r="J477" s="223">
        <f>IFERROR(__xludf.DUMMYFUNCTION("IMPORTRANGE(""https://docs.google.com/spreadsheets/d/1SX6NBoVAgQJ6U1MVXOaj8PK2l7WJ3RER9xtqwdhxkhw/edit?usp=sharing"",""นครปฐม!J372"")"),0.0)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IFERROR(__xludf.DUMMYFUNCTION("IMPORTRANGE(""https://docs.google.com/spreadsheets/d/1SX6NBoVAgQJ6U1MVXOaj8PK2l7WJ3RER9xtqwdhxkhw/edit?usp=sharing"",""นครปฐม!I373"")"),0.0)</f>
        <v>0</v>
      </c>
      <c r="J478" s="223">
        <f>IFERROR(__xludf.DUMMYFUNCTION("IMPORTRANGE(""https://docs.google.com/spreadsheets/d/1SX6NBoVAgQJ6U1MVXOaj8PK2l7WJ3RER9xtqwdhxkhw/edit?usp=sharing"",""นครปฐม!J373"")"),0.0)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IFERROR(__xludf.DUMMYFUNCTION("IMPORTRANGE(""https://docs.google.com/spreadsheets/d/1SX6NBoVAgQJ6U1MVXOaj8PK2l7WJ3RER9xtqwdhxkhw/edit?usp=sharing"",""นครปฐม!I374"")"),0.0)</f>
        <v>0</v>
      </c>
      <c r="J479" s="223">
        <f>IFERROR(__xludf.DUMMYFUNCTION("IMPORTRANGE(""https://docs.google.com/spreadsheets/d/1SX6NBoVAgQJ6U1MVXOaj8PK2l7WJ3RER9xtqwdhxkhw/edit?usp=sharing"",""นครปฐม!J374"")"),0.0)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IFERROR(__xludf.DUMMYFUNCTION("IMPORTRANGE(""https://docs.google.com/spreadsheets/d/1SX6NBoVAgQJ6U1MVXOaj8PK2l7WJ3RER9xtqwdhxkhw/edit?usp=sharing"",""นครปฐม!I375"")"),0.0)</f>
        <v>0</v>
      </c>
      <c r="J480" s="223">
        <f>IFERROR(__xludf.DUMMYFUNCTION("IMPORTRANGE(""https://docs.google.com/spreadsheets/d/1SX6NBoVAgQJ6U1MVXOaj8PK2l7WJ3RER9xtqwdhxkhw/edit?usp=sharing"",""นครปฐม!J375"")"),0.0)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IFERROR(__xludf.DUMMYFUNCTION("IMPORTRANGE(""https://docs.google.com/spreadsheets/d/1SX6NBoVAgQJ6U1MVXOaj8PK2l7WJ3RER9xtqwdhxkhw/edit?usp=sharing"",""นครปฐม!I376"")"),0.0)</f>
        <v>0</v>
      </c>
      <c r="J481" s="453">
        <f>IFERROR(__xludf.DUMMYFUNCTION("IMPORTRANGE(""https://docs.google.com/spreadsheets/d/1SX6NBoVAgQJ6U1MVXOaj8PK2l7WJ3RER9xtqwdhxkhw/edit?usp=sharing"",""นครปฐม!J376"")"),0.0)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IFERROR(__xludf.DUMMYFUNCTION("IMPORTRANGE(""https://docs.google.com/spreadsheets/d/1SX6NBoVAgQJ6U1MVXOaj8PK2l7WJ3RER9xtqwdhxkhw/edit?usp=sharing"",""นครปฐม!I377"")"),0.0)</f>
        <v>0</v>
      </c>
      <c r="J482" s="453">
        <f>IFERROR(__xludf.DUMMYFUNCTION("IMPORTRANGE(""https://docs.google.com/spreadsheets/d/1SX6NBoVAgQJ6U1MVXOaj8PK2l7WJ3RER9xtqwdhxkhw/edit?usp=sharing"",""นครปฐม!J377"")"),0.0)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IFERROR(__xludf.DUMMYFUNCTION("IMPORTRANGE(""https://docs.google.com/spreadsheets/d/1SX6NBoVAgQJ6U1MVXOaj8PK2l7WJ3RER9xtqwdhxkhw/edit?usp=sharing"",""นครปฐม!I378"")"),0.0)</f>
        <v>0</v>
      </c>
      <c r="J483" s="223">
        <f>IFERROR(__xludf.DUMMYFUNCTION("IMPORTRANGE(""https://docs.google.com/spreadsheets/d/1SX6NBoVAgQJ6U1MVXOaj8PK2l7WJ3RER9xtqwdhxkhw/edit?usp=sharing"",""นครปฐม!J378"")"),0.0)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IFERROR(__xludf.DUMMYFUNCTION("IMPORTRANGE(""https://docs.google.com/spreadsheets/d/1SX6NBoVAgQJ6U1MVXOaj8PK2l7WJ3RER9xtqwdhxkhw/edit?usp=sharing"",""นครปฐม!I379"")"),0.0)</f>
        <v>0</v>
      </c>
      <c r="J484" s="223">
        <f>IFERROR(__xludf.DUMMYFUNCTION("IMPORTRANGE(""https://docs.google.com/spreadsheets/d/1SX6NBoVAgQJ6U1MVXOaj8PK2l7WJ3RER9xtqwdhxkhw/edit?usp=sharing"",""นครปฐม!J379"")"),0.0)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IFERROR(__xludf.DUMMYFUNCTION("IMPORTRANGE(""https://docs.google.com/spreadsheets/d/1SX6NBoVAgQJ6U1MVXOaj8PK2l7WJ3RER9xtqwdhxkhw/edit?usp=sharing"",""นครปฐม!I380"")"),0.0)</f>
        <v>0</v>
      </c>
      <c r="J485" s="223">
        <f>IFERROR(__xludf.DUMMYFUNCTION("IMPORTRANGE(""https://docs.google.com/spreadsheets/d/1SX6NBoVAgQJ6U1MVXOaj8PK2l7WJ3RER9xtqwdhxkhw/edit?usp=sharing"",""นครปฐม!J380"")"),0.0)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IFERROR(__xludf.DUMMYFUNCTION("IMPORTRANGE(""https://docs.google.com/spreadsheets/d/1SX6NBoVAgQJ6U1MVXOaj8PK2l7WJ3RER9xtqwdhxkhw/edit?usp=sharing"",""นครปฐม!I381"")"),0.0)</f>
        <v>0</v>
      </c>
      <c r="J486" s="223">
        <f>IFERROR(__xludf.DUMMYFUNCTION("IMPORTRANGE(""https://docs.google.com/spreadsheets/d/1SX6NBoVAgQJ6U1MVXOaj8PK2l7WJ3RER9xtqwdhxkhw/edit?usp=sharing"",""นครปฐม!J381"")"),0.0)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IFERROR(__xludf.DUMMYFUNCTION("IMPORTRANGE(""https://docs.google.com/spreadsheets/d/1SX6NBoVAgQJ6U1MVXOaj8PK2l7WJ3RER9xtqwdhxkhw/edit?usp=sharing"",""นครปฐม!I382"")"),0.0)</f>
        <v>0</v>
      </c>
      <c r="J487" s="453">
        <f>IFERROR(__xludf.DUMMYFUNCTION("IMPORTRANGE(""https://docs.google.com/spreadsheets/d/1SX6NBoVAgQJ6U1MVXOaj8PK2l7WJ3RER9xtqwdhxkhw/edit?usp=sharing"",""นครปฐม!J382"")"),0.0)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IFERROR(__xludf.DUMMYFUNCTION("IMPORTRANGE(""https://docs.google.com/spreadsheets/d/1SX6NBoVAgQJ6U1MVXOaj8PK2l7WJ3RER9xtqwdhxkhw/edit?usp=sharing"",""นครปฐม!I383"")"),0.0)</f>
        <v>0</v>
      </c>
      <c r="J488" s="453">
        <f>IFERROR(__xludf.DUMMYFUNCTION("IMPORTRANGE(""https://docs.google.com/spreadsheets/d/1SX6NBoVAgQJ6U1MVXOaj8PK2l7WJ3RER9xtqwdhxkhw/edit?usp=sharing"",""นครปฐม!J383"")"),0.0)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IFERROR(__xludf.DUMMYFUNCTION("IMPORTRANGE(""https://docs.google.com/spreadsheets/d/1SX6NBoVAgQJ6U1MVXOaj8PK2l7WJ3RER9xtqwdhxkhw/edit?usp=sharing"",""นครปฐม!I384"")"),0.0)</f>
        <v>0</v>
      </c>
      <c r="J489" s="223">
        <f>IFERROR(__xludf.DUMMYFUNCTION("IMPORTRANGE(""https://docs.google.com/spreadsheets/d/1SX6NBoVAgQJ6U1MVXOaj8PK2l7WJ3RER9xtqwdhxkhw/edit?usp=sharing"",""นครปฐม!J384"")"),0.0)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IFERROR(__xludf.DUMMYFUNCTION("IMPORTRANGE(""https://docs.google.com/spreadsheets/d/1SX6NBoVAgQJ6U1MVXOaj8PK2l7WJ3RER9xtqwdhxkhw/edit?usp=sharing"",""นครปฐม!I385"")"),0.0)</f>
        <v>0</v>
      </c>
      <c r="J490" s="223">
        <f>IFERROR(__xludf.DUMMYFUNCTION("IMPORTRANGE(""https://docs.google.com/spreadsheets/d/1SX6NBoVAgQJ6U1MVXOaj8PK2l7WJ3RER9xtqwdhxkhw/edit?usp=sharing"",""นครปฐม!J385"")"),0.0)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IFERROR(__xludf.DUMMYFUNCTION("IMPORTRANGE(""https://docs.google.com/spreadsheets/d/1SX6NBoVAgQJ6U1MVXOaj8PK2l7WJ3RER9xtqwdhxkhw/edit?usp=sharing"",""นครปฐม!I386"")"),0.0)</f>
        <v>0</v>
      </c>
      <c r="J491" s="223">
        <f>IFERROR(__xludf.DUMMYFUNCTION("IMPORTRANGE(""https://docs.google.com/spreadsheets/d/1SX6NBoVAgQJ6U1MVXOaj8PK2l7WJ3RER9xtqwdhxkhw/edit?usp=sharing"",""นครปฐม!J386"")"),0.0)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IFERROR(__xludf.DUMMYFUNCTION("IMPORTRANGE(""https://docs.google.com/spreadsheets/d/1SX6NBoVAgQJ6U1MVXOaj8PK2l7WJ3RER9xtqwdhxkhw/edit?usp=sharing"",""นครปฐม!I387"")"),0.0)</f>
        <v>0</v>
      </c>
      <c r="J492" s="223">
        <f>IFERROR(__xludf.DUMMYFUNCTION("IMPORTRANGE(""https://docs.google.com/spreadsheets/d/1SX6NBoVAgQJ6U1MVXOaj8PK2l7WJ3RER9xtqwdhxkhw/edit?usp=sharing"",""นครปฐม!J387"")"),0.0)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IFERROR(__xludf.DUMMYFUNCTION("IMPORTRANGE(""https://docs.google.com/spreadsheets/d/1SX6NBoVAgQJ6U1MVXOaj8PK2l7WJ3RER9xtqwdhxkhw/edit?usp=sharing"",""นครปฐม!I388"")"),0.0)</f>
        <v>0</v>
      </c>
      <c r="J493" s="223">
        <f>IFERROR(__xludf.DUMMYFUNCTION("IMPORTRANGE(""https://docs.google.com/spreadsheets/d/1SX6NBoVAgQJ6U1MVXOaj8PK2l7WJ3RER9xtqwdhxkhw/edit?usp=sharing"",""นครปฐม!J388"")"),0.0)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IFERROR(__xludf.DUMMYFUNCTION("IMPORTRANGE(""https://docs.google.com/spreadsheets/d/1SX6NBoVAgQJ6U1MVXOaj8PK2l7WJ3RER9xtqwdhxkhw/edit?usp=sharing"",""นครปฐม!I389"")"),0.0)</f>
        <v>0</v>
      </c>
      <c r="J494" s="469">
        <f>IFERROR(__xludf.DUMMYFUNCTION("IMPORTRANGE(""https://docs.google.com/spreadsheets/d/1SX6NBoVAgQJ6U1MVXOaj8PK2l7WJ3RER9xtqwdhxkhw/edit?usp=sharing"",""นครปฐม!J389"")"),0.0)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IFERROR(__xludf.DUMMYFUNCTION("IMPORTRANGE(""https://docs.google.com/spreadsheets/d/1SX6NBoVAgQJ6U1MVXOaj8PK2l7WJ3RER9xtqwdhxkhw/edit?usp=sharing"",""นครปฐม!I390"")"),0.0)</f>
        <v>0</v>
      </c>
      <c r="J495" s="469">
        <f>IFERROR(__xludf.DUMMYFUNCTION("IMPORTRANGE(""https://docs.google.com/spreadsheets/d/1SX6NBoVAgQJ6U1MVXOaj8PK2l7WJ3RER9xtqwdhxkhw/edit?usp=sharing"",""นครปฐม!J390"")"),0.0)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IFERROR(__xludf.DUMMYFUNCTION("IMPORTRANGE(""https://docs.google.com/spreadsheets/d/1SX6NBoVAgQJ6U1MVXOaj8PK2l7WJ3RER9xtqwdhxkhw/edit?usp=sharing"",""นครปฐม!I391"")"),0.0)</f>
        <v>0</v>
      </c>
      <c r="J496" s="469">
        <f>IFERROR(__xludf.DUMMYFUNCTION("IMPORTRANGE(""https://docs.google.com/spreadsheets/d/1SX6NBoVAgQJ6U1MVXOaj8PK2l7WJ3RER9xtqwdhxkhw/edit?usp=sharing"",""นครปฐม!J391"")"),0.0)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IFERROR(__xludf.DUMMYFUNCTION("IMPORTRANGE(""https://docs.google.com/spreadsheets/d/1SX6NBoVAgQJ6U1MVXOaj8PK2l7WJ3RER9xtqwdhxkhw/edit?usp=sharing"",""นครปฐม!I392"")"),0.0)</f>
        <v>0</v>
      </c>
      <c r="J497" s="476">
        <f>IFERROR(__xludf.DUMMYFUNCTION("IMPORTRANGE(""https://docs.google.com/spreadsheets/d/1SX6NBoVAgQJ6U1MVXOaj8PK2l7WJ3RER9xtqwdhxkhw/edit?usp=sharing"",""นครปฐม!J392"")"),0.0)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IFERROR(__xludf.DUMMYFUNCTION("IMPORTRANGE(""https://docs.google.com/spreadsheets/d/1SX6NBoVAgQJ6U1MVXOaj8PK2l7WJ3RER9xtqwdhxkhw/edit?usp=sharing"",""นครปฐม!I393"")"),0.0)</f>
        <v>0</v>
      </c>
      <c r="J498" s="453">
        <f>IFERROR(__xludf.DUMMYFUNCTION("IMPORTRANGE(""https://docs.google.com/spreadsheets/d/1SX6NBoVAgQJ6U1MVXOaj8PK2l7WJ3RER9xtqwdhxkhw/edit?usp=sharing"",""นครปฐม!J393"")"),0.0)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IFERROR(__xludf.DUMMYFUNCTION("IMPORTRANGE(""https://docs.google.com/spreadsheets/d/1SX6NBoVAgQJ6U1MVXOaj8PK2l7WJ3RER9xtqwdhxkhw/edit?usp=sharing"",""นครปฐม!I394"")"),0.0)</f>
        <v>0</v>
      </c>
      <c r="J499" s="453">
        <f>IFERROR(__xludf.DUMMYFUNCTION("IMPORTRANGE(""https://docs.google.com/spreadsheets/d/1SX6NBoVAgQJ6U1MVXOaj8PK2l7WJ3RER9xtqwdhxkhw/edit?usp=sharing"",""นครปฐม!J394"")"),0.0)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IFERROR(__xludf.DUMMYFUNCTION("IMPORTRANGE(""https://docs.google.com/spreadsheets/d/1SX6NBoVAgQJ6U1MVXOaj8PK2l7WJ3RER9xtqwdhxkhw/edit?usp=sharing"",""นครปฐม!I395"")"),0.0)</f>
        <v>0</v>
      </c>
      <c r="J500" s="195">
        <f>IFERROR(__xludf.DUMMYFUNCTION("IMPORTRANGE(""https://docs.google.com/spreadsheets/d/1SX6NBoVAgQJ6U1MVXOaj8PK2l7WJ3RER9xtqwdhxkhw/edit?usp=sharing"",""นครปฐม!J395"")"),0.0)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IFERROR(__xludf.DUMMYFUNCTION("IMPORTRANGE(""https://docs.google.com/spreadsheets/d/1SX6NBoVAgQJ6U1MVXOaj8PK2l7WJ3RER9xtqwdhxkhw/edit?usp=sharing"",""นครปฐม!I396"")"),0.0)</f>
        <v>0</v>
      </c>
      <c r="J501" s="195">
        <f>IFERROR(__xludf.DUMMYFUNCTION("IMPORTRANGE(""https://docs.google.com/spreadsheets/d/1SX6NBoVAgQJ6U1MVXOaj8PK2l7WJ3RER9xtqwdhxkhw/edit?usp=sharing"",""นครปฐม!J396"")"),0.0)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IFERROR(__xludf.DUMMYFUNCTION("IMPORTRANGE(""https://docs.google.com/spreadsheets/d/1SX6NBoVAgQJ6U1MVXOaj8PK2l7WJ3RER9xtqwdhxkhw/edit?usp=sharing"",""นครปฐม!I397"")"),0.0)</f>
        <v>0</v>
      </c>
      <c r="J502" s="223">
        <f>IFERROR(__xludf.DUMMYFUNCTION("IMPORTRANGE(""https://docs.google.com/spreadsheets/d/1SX6NBoVAgQJ6U1MVXOaj8PK2l7WJ3RER9xtqwdhxkhw/edit?usp=sharing"",""นครปฐม!J397"")"),0.0)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IFERROR(__xludf.DUMMYFUNCTION("IMPORTRANGE(""https://docs.google.com/spreadsheets/d/1SX6NBoVAgQJ6U1MVXOaj8PK2l7WJ3RER9xtqwdhxkhw/edit?usp=sharing"",""นครปฐม!I398"")"),0.0)</f>
        <v>0</v>
      </c>
      <c r="J503" s="232">
        <f>IFERROR(__xludf.DUMMYFUNCTION("IMPORTRANGE(""https://docs.google.com/spreadsheets/d/1SX6NBoVAgQJ6U1MVXOaj8PK2l7WJ3RER9xtqwdhxkhw/edit?usp=sharing"",""นครปฐม!J398"")"),0.0)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IFERROR(__xludf.DUMMYFUNCTION("IMPORTRANGE(""https://docs.google.com/spreadsheets/d/1SX6NBoVAgQJ6U1MVXOaj8PK2l7WJ3RER9xtqwdhxkhw/edit?usp=sharing"",""นครปฐม!I399"")"),0.0)</f>
        <v>0</v>
      </c>
      <c r="J504" s="223">
        <f>IFERROR(__xludf.DUMMYFUNCTION("IMPORTRANGE(""https://docs.google.com/spreadsheets/d/1SX6NBoVAgQJ6U1MVXOaj8PK2l7WJ3RER9xtqwdhxkhw/edit?usp=sharing"",""นครปฐม!J399"")"),0.0)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IFERROR(__xludf.DUMMYFUNCTION("IMPORTRANGE(""https://docs.google.com/spreadsheets/d/1SX6NBoVAgQJ6U1MVXOaj8PK2l7WJ3RER9xtqwdhxkhw/edit?usp=sharing"",""นครปฐม!I400"")"),0.0)</f>
        <v>0</v>
      </c>
      <c r="J505" s="232">
        <f>IFERROR(__xludf.DUMMYFUNCTION("IMPORTRANGE(""https://docs.google.com/spreadsheets/d/1SX6NBoVAgQJ6U1MVXOaj8PK2l7WJ3RER9xtqwdhxkhw/edit?usp=sharing"",""นครปฐม!J400"")"),0.0)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IFERROR(__xludf.DUMMYFUNCTION("IMPORTRANGE(""https://docs.google.com/spreadsheets/d/1SX6NBoVAgQJ6U1MVXOaj8PK2l7WJ3RER9xtqwdhxkhw/edit?usp=sharing"",""นครปฐม!I401"")"),0.0)</f>
        <v>0</v>
      </c>
      <c r="J506" s="223">
        <f>IFERROR(__xludf.DUMMYFUNCTION("IMPORTRANGE(""https://docs.google.com/spreadsheets/d/1SX6NBoVAgQJ6U1MVXOaj8PK2l7WJ3RER9xtqwdhxkhw/edit?usp=sharing"",""นครปฐม!J401"")"),0.0)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IFERROR(__xludf.DUMMYFUNCTION("IMPORTRANGE(""https://docs.google.com/spreadsheets/d/1SX6NBoVAgQJ6U1MVXOaj8PK2l7WJ3RER9xtqwdhxkhw/edit?usp=sharing"",""นครปฐม!I402"")"),0.0)</f>
        <v>0</v>
      </c>
      <c r="J507" s="232">
        <f>IFERROR(__xludf.DUMMYFUNCTION("IMPORTRANGE(""https://docs.google.com/spreadsheets/d/1SX6NBoVAgQJ6U1MVXOaj8PK2l7WJ3RER9xtqwdhxkhw/edit?usp=sharing"",""นครปฐม!J402"")"),0.0)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IFERROR(__xludf.DUMMYFUNCTION("IMPORTRANGE(""https://docs.google.com/spreadsheets/d/1SX6NBoVAgQJ6U1MVXOaj8PK2l7WJ3RER9xtqwdhxkhw/edit?usp=sharing"",""นครปฐม!I403"")"),0.0)</f>
        <v>0</v>
      </c>
      <c r="J508" s="195">
        <f>IFERROR(__xludf.DUMMYFUNCTION("IMPORTRANGE(""https://docs.google.com/spreadsheets/d/1SX6NBoVAgQJ6U1MVXOaj8PK2l7WJ3RER9xtqwdhxkhw/edit?usp=sharing"",""นครปฐม!J403"")"),0.0)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IFERROR(__xludf.DUMMYFUNCTION("IMPORTRANGE(""https://docs.google.com/spreadsheets/d/1SX6NBoVAgQJ6U1MVXOaj8PK2l7WJ3RER9xtqwdhxkhw/edit?usp=sharing"",""นครปฐม!I404"")"),0.0)</f>
        <v>0</v>
      </c>
      <c r="J509" s="195">
        <f>IFERROR(__xludf.DUMMYFUNCTION("IMPORTRANGE(""https://docs.google.com/spreadsheets/d/1SX6NBoVAgQJ6U1MVXOaj8PK2l7WJ3RER9xtqwdhxkhw/edit?usp=sharing"",""นครปฐม!J404"")"),0.0)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IFERROR(__xludf.DUMMYFUNCTION("IMPORTRANGE(""https://docs.google.com/spreadsheets/d/1SX6NBoVAgQJ6U1MVXOaj8PK2l7WJ3RER9xtqwdhxkhw/edit?usp=sharing"",""นครปฐม!I405"")"),0.0)</f>
        <v>0</v>
      </c>
      <c r="J510" s="232">
        <f>IFERROR(__xludf.DUMMYFUNCTION("IMPORTRANGE(""https://docs.google.com/spreadsheets/d/1SX6NBoVAgQJ6U1MVXOaj8PK2l7WJ3RER9xtqwdhxkhw/edit?usp=sharing"",""นครปฐม!J405"")"),0.0)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IFERROR(__xludf.DUMMYFUNCTION("IMPORTRANGE(""https://docs.google.com/spreadsheets/d/1SX6NBoVAgQJ6U1MVXOaj8PK2l7WJ3RER9xtqwdhxkhw/edit?usp=sharing"",""นครปฐม!I406"")"),0.0)</f>
        <v>0</v>
      </c>
      <c r="J511" s="232">
        <f>IFERROR(__xludf.DUMMYFUNCTION("IMPORTRANGE(""https://docs.google.com/spreadsheets/d/1SX6NBoVAgQJ6U1MVXOaj8PK2l7WJ3RER9xtqwdhxkhw/edit?usp=sharing"",""นครปฐม!J406"")"),0.0)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IFERROR(__xludf.DUMMYFUNCTION("IMPORTRANGE(""https://docs.google.com/spreadsheets/d/1SX6NBoVAgQJ6U1MVXOaj8PK2l7WJ3RER9xtqwdhxkhw/edit?usp=sharing"",""นครปฐม!I407"")"),0.0)</f>
        <v>0</v>
      </c>
      <c r="J512" s="232">
        <f>IFERROR(__xludf.DUMMYFUNCTION("IMPORTRANGE(""https://docs.google.com/spreadsheets/d/1SX6NBoVAgQJ6U1MVXOaj8PK2l7WJ3RER9xtqwdhxkhw/edit?usp=sharing"",""นครปฐม!J407"")"),0.0)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IFERROR(__xludf.DUMMYFUNCTION("IMPORTRANGE(""https://docs.google.com/spreadsheets/d/1SX6NBoVAgQJ6U1MVXOaj8PK2l7WJ3RER9xtqwdhxkhw/edit?usp=sharing"",""นครปฐม!I408"")"),0.0)</f>
        <v>0</v>
      </c>
      <c r="J513" s="232">
        <f>IFERROR(__xludf.DUMMYFUNCTION("IMPORTRANGE(""https://docs.google.com/spreadsheets/d/1SX6NBoVAgQJ6U1MVXOaj8PK2l7WJ3RER9xtqwdhxkhw/edit?usp=sharing"",""นครปฐม!J408"")"),0.0)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IFERROR(__xludf.DUMMYFUNCTION("IMPORTRANGE(""https://docs.google.com/spreadsheets/d/1SX6NBoVAgQJ6U1MVXOaj8PK2l7WJ3RER9xtqwdhxkhw/edit?usp=sharing"",""นครปฐม!I409"")"),0.0)</f>
        <v>0</v>
      </c>
      <c r="J514" s="232">
        <f>IFERROR(__xludf.DUMMYFUNCTION("IMPORTRANGE(""https://docs.google.com/spreadsheets/d/1SX6NBoVAgQJ6U1MVXOaj8PK2l7WJ3RER9xtqwdhxkhw/edit?usp=sharing"",""นครปฐม!J409"")"),0.0)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IFERROR(__xludf.DUMMYFUNCTION("IMPORTRANGE(""https://docs.google.com/spreadsheets/d/1SX6NBoVAgQJ6U1MVXOaj8PK2l7WJ3RER9xtqwdhxkhw/edit?usp=sharing"",""นครปฐม!I410"")"),0.0)</f>
        <v>0</v>
      </c>
      <c r="J515" s="232">
        <f>IFERROR(__xludf.DUMMYFUNCTION("IMPORTRANGE(""https://docs.google.com/spreadsheets/d/1SX6NBoVAgQJ6U1MVXOaj8PK2l7WJ3RER9xtqwdhxkhw/edit?usp=sharing"",""นครปฐม!J410"")"),0.0)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IFERROR(__xludf.DUMMYFUNCTION("IMPORTRANGE(""https://docs.google.com/spreadsheets/d/1SX6NBoVAgQJ6U1MVXOaj8PK2l7WJ3RER9xtqwdhxkhw/edit?usp=sharing"",""นครปฐม!I411"")"),0.0)</f>
        <v>0</v>
      </c>
      <c r="J516" s="301">
        <f>IFERROR(__xludf.DUMMYFUNCTION("IMPORTRANGE(""https://docs.google.com/spreadsheets/d/1SX6NBoVAgQJ6U1MVXOaj8PK2l7WJ3RER9xtqwdhxkhw/edit?usp=sharing"",""นครปฐม!J411"")"),0.0)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IFERROR(__xludf.DUMMYFUNCTION("IMPORTRANGE(""https://docs.google.com/spreadsheets/d/1SX6NBoVAgQJ6U1MVXOaj8PK2l7WJ3RER9xtqwdhxkhw/edit?usp=sharing"",""นครปฐม!I412"")"),0.0)</f>
        <v>0</v>
      </c>
      <c r="J517" s="317">
        <f>IFERROR(__xludf.DUMMYFUNCTION("IMPORTRANGE(""https://docs.google.com/spreadsheets/d/1SX6NBoVAgQJ6U1MVXOaj8PK2l7WJ3RER9xtqwdhxkhw/edit?usp=sharing"",""นครปฐม!J412"")"),0.0)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IFERROR(__xludf.DUMMYFUNCTION("IMPORTRANGE(""https://docs.google.com/spreadsheets/d/1SX6NBoVAgQJ6U1MVXOaj8PK2l7WJ3RER9xtqwdhxkhw/edit?usp=sharing"",""นครปฐม!I413"")"),0.0)</f>
        <v>0</v>
      </c>
      <c r="J518" s="317">
        <f>IFERROR(__xludf.DUMMYFUNCTION("IMPORTRANGE(""https://docs.google.com/spreadsheets/d/1SX6NBoVAgQJ6U1MVXOaj8PK2l7WJ3RER9xtqwdhxkhw/edit?usp=sharing"",""นครปฐม!J413"")"),0.0)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IFERROR(__xludf.DUMMYFUNCTION("IMPORTRANGE(""https://docs.google.com/spreadsheets/d/1SX6NBoVAgQJ6U1MVXOaj8PK2l7WJ3RER9xtqwdhxkhw/edit?usp=sharing"",""นครปฐม!I414"")"),0.0)</f>
        <v>0</v>
      </c>
      <c r="J519" s="222">
        <f>IFERROR(__xludf.DUMMYFUNCTION("IMPORTRANGE(""https://docs.google.com/spreadsheets/d/1SX6NBoVAgQJ6U1MVXOaj8PK2l7WJ3RER9xtqwdhxkhw/edit?usp=sharing"",""นครปฐม!J414"")"),0.0)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IFERROR(__xludf.DUMMYFUNCTION("IMPORTRANGE(""https://docs.google.com/spreadsheets/d/1SX6NBoVAgQJ6U1MVXOaj8PK2l7WJ3RER9xtqwdhxkhw/edit?usp=sharing"",""นครปฐม!I415"")"),0.0)</f>
        <v>0</v>
      </c>
      <c r="J520" s="222">
        <f>IFERROR(__xludf.DUMMYFUNCTION("IMPORTRANGE(""https://docs.google.com/spreadsheets/d/1SX6NBoVAgQJ6U1MVXOaj8PK2l7WJ3RER9xtqwdhxkhw/edit?usp=sharing"",""นครปฐม!J415"")"),0.0)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IFERROR(__xludf.DUMMYFUNCTION("IMPORTRANGE(""https://docs.google.com/spreadsheets/d/1SX6NBoVAgQJ6U1MVXOaj8PK2l7WJ3RER9xtqwdhxkhw/edit?usp=sharing"",""นครปฐม!I416"")"),0.0)</f>
        <v>0</v>
      </c>
      <c r="J521" s="222">
        <f>IFERROR(__xludf.DUMMYFUNCTION("IMPORTRANGE(""https://docs.google.com/spreadsheets/d/1SX6NBoVAgQJ6U1MVXOaj8PK2l7WJ3RER9xtqwdhxkhw/edit?usp=sharing"",""นครปฐม!J416"")"),0.0)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IFERROR(__xludf.DUMMYFUNCTION("IMPORTRANGE(""https://docs.google.com/spreadsheets/d/1SX6NBoVAgQJ6U1MVXOaj8PK2l7WJ3RER9xtqwdhxkhw/edit?usp=sharing"",""นครปฐม!I417"")"),0.0)</f>
        <v>0</v>
      </c>
      <c r="J522" s="222">
        <f>IFERROR(__xludf.DUMMYFUNCTION("IMPORTRANGE(""https://docs.google.com/spreadsheets/d/1SX6NBoVAgQJ6U1MVXOaj8PK2l7WJ3RER9xtqwdhxkhw/edit?usp=sharing"",""นครปฐม!J417"")"),0.0)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IFERROR(__xludf.DUMMYFUNCTION("IMPORTRANGE(""https://docs.google.com/spreadsheets/d/1SX6NBoVAgQJ6U1MVXOaj8PK2l7WJ3RER9xtqwdhxkhw/edit?usp=sharing"",""นครปฐม!I418"")"),0.0)</f>
        <v>0</v>
      </c>
      <c r="J523" s="222">
        <f>IFERROR(__xludf.DUMMYFUNCTION("IMPORTRANGE(""https://docs.google.com/spreadsheets/d/1SX6NBoVAgQJ6U1MVXOaj8PK2l7WJ3RER9xtqwdhxkhw/edit?usp=sharing"",""นครปฐม!J418"")"),0.0)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IFERROR(__xludf.DUMMYFUNCTION("IMPORTRANGE(""https://docs.google.com/spreadsheets/d/1SX6NBoVAgQJ6U1MVXOaj8PK2l7WJ3RER9xtqwdhxkhw/edit?usp=sharing"",""นครปฐม!I419"")"),0.0)</f>
        <v>0</v>
      </c>
      <c r="J524" s="222">
        <f>IFERROR(__xludf.DUMMYFUNCTION("IMPORTRANGE(""https://docs.google.com/spreadsheets/d/1SX6NBoVAgQJ6U1MVXOaj8PK2l7WJ3RER9xtqwdhxkhw/edit?usp=sharing"",""นครปฐม!J419"")"),0.0)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IFERROR(__xludf.DUMMYFUNCTION("IMPORTRANGE(""https://docs.google.com/spreadsheets/d/1SX6NBoVAgQJ6U1MVXOaj8PK2l7WJ3RER9xtqwdhxkhw/edit?usp=sharing"",""นครปฐม!I420"")"),0.0)</f>
        <v>0</v>
      </c>
      <c r="J525" s="317">
        <f>IFERROR(__xludf.DUMMYFUNCTION("IMPORTRANGE(""https://docs.google.com/spreadsheets/d/1SX6NBoVAgQJ6U1MVXOaj8PK2l7WJ3RER9xtqwdhxkhw/edit?usp=sharing"",""นครปฐม!J420"")"),0.0)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IFERROR(__xludf.DUMMYFUNCTION("IMPORTRANGE(""https://docs.google.com/spreadsheets/d/1SX6NBoVAgQJ6U1MVXOaj8PK2l7WJ3RER9xtqwdhxkhw/edit?usp=sharing"",""นครปฐม!I421"")"),0.0)</f>
        <v>0</v>
      </c>
      <c r="J526" s="317">
        <f>IFERROR(__xludf.DUMMYFUNCTION("IMPORTRANGE(""https://docs.google.com/spreadsheets/d/1SX6NBoVAgQJ6U1MVXOaj8PK2l7WJ3RER9xtqwdhxkhw/edit?usp=sharing"",""นครปฐม!J421"")"),0.0)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IFERROR(__xludf.DUMMYFUNCTION("IMPORTRANGE(""https://docs.google.com/spreadsheets/d/1SX6NBoVAgQJ6U1MVXOaj8PK2l7WJ3RER9xtqwdhxkhw/edit?usp=sharing"",""นครปฐม!I422"")"),0.0)</f>
        <v>0</v>
      </c>
      <c r="J527" s="232">
        <f>IFERROR(__xludf.DUMMYFUNCTION("IMPORTRANGE(""https://docs.google.com/spreadsheets/d/1SX6NBoVAgQJ6U1MVXOaj8PK2l7WJ3RER9xtqwdhxkhw/edit?usp=sharing"",""นครปฐม!J422"")"),0.0)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IFERROR(__xludf.DUMMYFUNCTION("IMPORTRANGE(""https://docs.google.com/spreadsheets/d/1SX6NBoVAgQJ6U1MVXOaj8PK2l7WJ3RER9xtqwdhxkhw/edit?usp=sharing"",""นครปฐม!I423"")"),0.0)</f>
        <v>0</v>
      </c>
      <c r="J528" s="232">
        <f>IFERROR(__xludf.DUMMYFUNCTION("IMPORTRANGE(""https://docs.google.com/spreadsheets/d/1SX6NBoVAgQJ6U1MVXOaj8PK2l7WJ3RER9xtqwdhxkhw/edit?usp=sharing"",""นครปฐม!J423"")"),0.0)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IFERROR(__xludf.DUMMYFUNCTION("IMPORTRANGE(""https://docs.google.com/spreadsheets/d/1SX6NBoVAgQJ6U1MVXOaj8PK2l7WJ3RER9xtqwdhxkhw/edit?usp=sharing"",""นครปฐม!I424"")"),0.0)</f>
        <v>0</v>
      </c>
      <c r="J529" s="232">
        <f>IFERROR(__xludf.DUMMYFUNCTION("IMPORTRANGE(""https://docs.google.com/spreadsheets/d/1SX6NBoVAgQJ6U1MVXOaj8PK2l7WJ3RER9xtqwdhxkhw/edit?usp=sharing"",""นครปฐม!J424"")"),0.0)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IFERROR(__xludf.DUMMYFUNCTION("IMPORTRANGE(""https://docs.google.com/spreadsheets/d/1SX6NBoVAgQJ6U1MVXOaj8PK2l7WJ3RER9xtqwdhxkhw/edit?usp=sharing"",""นครปฐม!I425"")"),0.0)</f>
        <v>0</v>
      </c>
      <c r="J530" s="232">
        <f>IFERROR(__xludf.DUMMYFUNCTION("IMPORTRANGE(""https://docs.google.com/spreadsheets/d/1SX6NBoVAgQJ6U1MVXOaj8PK2l7WJ3RER9xtqwdhxkhw/edit?usp=sharing"",""นครปฐม!J425"")"),0.0)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IFERROR(__xludf.DUMMYFUNCTION("IMPORTRANGE(""https://docs.google.com/spreadsheets/d/1SX6NBoVAgQJ6U1MVXOaj8PK2l7WJ3RER9xtqwdhxkhw/edit?usp=sharing"",""นครปฐม!I426"")"),0.0)</f>
        <v>0</v>
      </c>
      <c r="J531" s="232">
        <f>IFERROR(__xludf.DUMMYFUNCTION("IMPORTRANGE(""https://docs.google.com/spreadsheets/d/1SX6NBoVAgQJ6U1MVXOaj8PK2l7WJ3RER9xtqwdhxkhw/edit?usp=sharing"",""นครปฐม!J426"")"),0.0)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IFERROR(__xludf.DUMMYFUNCTION("IMPORTRANGE(""https://docs.google.com/spreadsheets/d/1SX6NBoVAgQJ6U1MVXOaj8PK2l7WJ3RER9xtqwdhxkhw/edit?usp=sharing"",""นครปฐม!I427"")"),0.0)</f>
        <v>0</v>
      </c>
      <c r="J532" s="499">
        <f>IFERROR(__xludf.DUMMYFUNCTION("IMPORTRANGE(""https://docs.google.com/spreadsheets/d/1SX6NBoVAgQJ6U1MVXOaj8PK2l7WJ3RER9xtqwdhxkhw/edit?usp=sharing"",""นครปฐม!J427"")"),0.0)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IFERROR(__xludf.DUMMYFUNCTION("IMPORTRANGE(""https://docs.google.com/spreadsheets/d/1SX6NBoVAgQJ6U1MVXOaj8PK2l7WJ3RER9xtqwdhxkhw/edit?usp=sharing"",""นครปฐม!I428"")"),20.0)</f>
        <v>20</v>
      </c>
      <c r="J533" s="443">
        <f>IFERROR(__xludf.DUMMYFUNCTION("IMPORTRANGE(""https://docs.google.com/spreadsheets/d/1SX6NBoVAgQJ6U1MVXOaj8PK2l7WJ3RER9xtqwdhxkhw/edit?usp=sharing"",""นครปฐม!J428"")"),20.0)</f>
        <v>20</v>
      </c>
      <c r="K533" s="444">
        <f>IF(I533&gt;0,J533*100/I533,0)</f>
        <v>100</v>
      </c>
      <c r="L533" s="445">
        <f>IFERROR(__xludf.DUMMYFUNCTION("IMPORTRANGE(""https://docs.google.com/spreadsheets/d/1SX6NBoVAgQJ6U1MVXOaj8PK2l7WJ3RER9xtqwdhxkhw/edit?usp=sharing"",""นครปฐม!L428"")"),32640.0)</f>
        <v>32640</v>
      </c>
      <c r="M533" s="445"/>
      <c r="N533" s="445">
        <f>IFERROR(__xludf.DUMMYFUNCTION("IMPORTRANGE(""https://docs.google.com/spreadsheets/d/1SX6NBoVAgQJ6U1MVXOaj8PK2l7WJ3RER9xtqwdhxkhw/edit?usp=sharing"",""นครปฐม!M428"")"),26520.0)</f>
        <v>26520</v>
      </c>
      <c r="O533" s="445">
        <f t="shared" ref="O533:O537" si="119">+IF(L533&gt;0,N533*100/L533,0)</f>
        <v>81.25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IFERROR(__xludf.DUMMYFUNCTION("IMPORTRANGE(""https://docs.google.com/spreadsheets/d/1SX6NBoVAgQJ6U1MVXOaj8PK2l7WJ3RER9xtqwdhxkhw/edit?usp=sharing"",""นครปฐม!L429"")"),0.0)</f>
        <v>0</v>
      </c>
      <c r="M534" s="197"/>
      <c r="N534" s="203">
        <f>IFERROR(__xludf.DUMMYFUNCTION("IMPORTRANGE(""https://docs.google.com/spreadsheets/d/1SX6NBoVAgQJ6U1MVXOaj8PK2l7WJ3RER9xtqwdhxkhw/edit?usp=sharing"",""นครปฐม!M429"")"),0.0)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IFERROR(__xludf.DUMMYFUNCTION("IMPORTRANGE(""https://docs.google.com/spreadsheets/d/1SX6NBoVAgQJ6U1MVXOaj8PK2l7WJ3RER9xtqwdhxkhw/edit?usp=sharing"",""นครปฐม!L430"")"),32640.0)</f>
        <v>32640</v>
      </c>
      <c r="M535" s="198"/>
      <c r="N535" s="203">
        <f>IFERROR(__xludf.DUMMYFUNCTION("IMPORTRANGE(""https://docs.google.com/spreadsheets/d/1SX6NBoVAgQJ6U1MVXOaj8PK2l7WJ3RER9xtqwdhxkhw/edit?usp=sharing"",""นครปฐม!M430"")"),26520.0)</f>
        <v>26520</v>
      </c>
      <c r="O535" s="203">
        <f t="shared" si="119"/>
        <v>81.25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IFERROR(__xludf.DUMMYFUNCTION("IMPORTRANGE(""https://docs.google.com/spreadsheets/d/1SX6NBoVAgQJ6U1MVXOaj8PK2l7WJ3RER9xtqwdhxkhw/edit?usp=sharing"",""นครปฐม!L431"")"),0.0)</f>
        <v>0</v>
      </c>
      <c r="M536" s="203"/>
      <c r="N536" s="203">
        <f>IFERROR(__xludf.DUMMYFUNCTION("IMPORTRANGE(""https://docs.google.com/spreadsheets/d/1SX6NBoVAgQJ6U1MVXOaj8PK2l7WJ3RER9xtqwdhxkhw/edit?usp=sharing"",""นครปฐม!M431"")"),0.0)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IFERROR(__xludf.DUMMYFUNCTION("IMPORTRANGE(""https://docs.google.com/spreadsheets/d/1SX6NBoVAgQJ6U1MVXOaj8PK2l7WJ3RER9xtqwdhxkhw/edit?usp=sharing"",""นครปฐม!L432"")"),32640.0)</f>
        <v>32640</v>
      </c>
      <c r="M537" s="203"/>
      <c r="N537" s="203">
        <f>IFERROR(__xludf.DUMMYFUNCTION("IMPORTRANGE(""https://docs.google.com/spreadsheets/d/1SX6NBoVAgQJ6U1MVXOaj8PK2l7WJ3RER9xtqwdhxkhw/edit?usp=sharing"",""นครปฐม!M432"")"),26520.0)</f>
        <v>26520</v>
      </c>
      <c r="O537" s="203">
        <f t="shared" si="119"/>
        <v>81.25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IFERROR(__xludf.DUMMYFUNCTION("IMPORTRANGE(""https://docs.google.com/spreadsheets/d/1SX6NBoVAgQJ6U1MVXOaj8PK2l7WJ3RER9xtqwdhxkhw/edit?usp=sharing"",""นครปฐม!M433"")"),17040.0)</f>
        <v>17040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IFERROR(__xludf.DUMMYFUNCTION("IMPORTRANGE(""https://docs.google.com/spreadsheets/d/1SX6NBoVAgQJ6U1MVXOaj8PK2l7WJ3RER9xtqwdhxkhw/edit?usp=sharing"",""นครปฐม!M434"")"),0.0)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IFERROR(__xludf.DUMMYFUNCTION("IMPORTRANGE(""https://docs.google.com/spreadsheets/d/1SX6NBoVAgQJ6U1MVXOaj8PK2l7WJ3RER9xtqwdhxkhw/edit?usp=sharing"",""นครปฐม!M435"")"),0.0)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IFERROR(__xludf.DUMMYFUNCTION("IMPORTRANGE(""https://docs.google.com/spreadsheets/d/1SX6NBoVAgQJ6U1MVXOaj8PK2l7WJ3RER9xtqwdhxkhw/edit?usp=sharing"",""นครปฐม!M436"")"),9480.0)</f>
        <v>9480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IFERROR(__xludf.DUMMYFUNCTION("IMPORTRANGE(""https://docs.google.com/spreadsheets/d/1SX6NBoVAgQJ6U1MVXOaj8PK2l7WJ3RER9xtqwdhxkhw/edit?usp=sharing"",""นครปฐม!J438"")"),0.0)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IFERROR(__xludf.DUMMYFUNCTION("IMPORTRANGE(""https://docs.google.com/spreadsheets/d/1SX6NBoVAgQJ6U1MVXOaj8PK2l7WJ3RER9xtqwdhxkhw/edit?usp=sharing"",""นครปฐม!J439"")"),1.0)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IFERROR(__xludf.DUMMYFUNCTION("IMPORTRANGE(""https://docs.google.com/spreadsheets/d/1SX6NBoVAgQJ6U1MVXOaj8PK2l7WJ3RER9xtqwdhxkhw/edit?usp=sharing"",""นครปฐม!J440"")"),1.0)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IFERROR(__xludf.DUMMYFUNCTION("IMPORTRANGE(""https://docs.google.com/spreadsheets/d/1SX6NBoVAgQJ6U1MVXOaj8PK2l7WJ3RER9xtqwdhxkhw/edit?usp=sharing"",""นครปฐม!J441"")"),1.0)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IFERROR(__xludf.DUMMYFUNCTION("IMPORTRANGE(""https://docs.google.com/spreadsheets/d/1SX6NBoVAgQJ6U1MVXOaj8PK2l7WJ3RER9xtqwdhxkhw/edit?usp=sharing"",""นครปฐม!I442"")"),20.0)</f>
        <v>20</v>
      </c>
      <c r="J547" s="223">
        <f>IFERROR(__xludf.DUMMYFUNCTION("IMPORTRANGE(""https://docs.google.com/spreadsheets/d/1SX6NBoVAgQJ6U1MVXOaj8PK2l7WJ3RER9xtqwdhxkhw/edit?usp=sharing"",""นครปฐม!J442"")"),20.0)</f>
        <v>20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IFERROR(__xludf.DUMMYFUNCTION("IMPORTRANGE(""https://docs.google.com/spreadsheets/d/1SX6NBoVAgQJ6U1MVXOaj8PK2l7WJ3RER9xtqwdhxkhw/edit?usp=sharing"",""นครปฐม!J166"")"),0.0)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IFERROR(__xludf.DUMMYFUNCTION("IMPORTRANGE(""https://docs.google.com/spreadsheets/d/1SX6NBoVAgQJ6U1MVXOaj8PK2l7WJ3RER9xtqwdhxkhw/edit?usp=sharing"",""นครปฐม!J444"")"),0.0)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IFERROR(__xludf.DUMMYFUNCTION("IMPORTRANGE(""https://docs.google.com/spreadsheets/d/1SX6NBoVAgQJ6U1MVXOaj8PK2l7WJ3RER9xtqwdhxkhw/edit?usp=sharing"",""นครปฐม!J445"")"),0.0)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IFERROR(__xludf.DUMMYFUNCTION("IMPORTRANGE(""https://docs.google.com/spreadsheets/d/1SX6NBoVAgQJ6U1MVXOaj8PK2l7WJ3RER9xtqwdhxkhw/edit?usp=sharing"",""นครปฐม!I446"")"),0.0)</f>
        <v>0</v>
      </c>
      <c r="J551" s="443">
        <f>IFERROR(__xludf.DUMMYFUNCTION("IMPORTRANGE(""https://docs.google.com/spreadsheets/d/1SX6NBoVAgQJ6U1MVXOaj8PK2l7WJ3RER9xtqwdhxkhw/edit?usp=sharing"",""นครปฐม!J446"")"),0.0)</f>
        <v>0</v>
      </c>
      <c r="K551" s="444">
        <f>IF(I551&gt;0,J551*100/I551,0)</f>
        <v>0</v>
      </c>
      <c r="L551" s="445">
        <f>IFERROR(__xludf.DUMMYFUNCTION("IMPORTRANGE(""https://docs.google.com/spreadsheets/d/1SX6NBoVAgQJ6U1MVXOaj8PK2l7WJ3RER9xtqwdhxkhw/edit?usp=sharing"",""นครปฐม!L446"")"),0.0)</f>
        <v>0</v>
      </c>
      <c r="M551" s="445"/>
      <c r="N551" s="445">
        <f>IFERROR(__xludf.DUMMYFUNCTION("IMPORTRANGE(""https://docs.google.com/spreadsheets/d/1SX6NBoVAgQJ6U1MVXOaj8PK2l7WJ3RER9xtqwdhxkhw/edit?usp=sharing"",""นครปฐม!M446"")"),0.0)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IFERROR(__xludf.DUMMYFUNCTION("IMPORTRANGE(""https://docs.google.com/spreadsheets/d/1SX6NBoVAgQJ6U1MVXOaj8PK2l7WJ3RER9xtqwdhxkhw/edit?usp=sharing"",""นครปฐม!L447"")"),0.0)</f>
        <v>0</v>
      </c>
      <c r="M552" s="197"/>
      <c r="N552" s="203">
        <f>IFERROR(__xludf.DUMMYFUNCTION("IMPORTRANGE(""https://docs.google.com/spreadsheets/d/1SX6NBoVAgQJ6U1MVXOaj8PK2l7WJ3RER9xtqwdhxkhw/edit?usp=sharing"",""นครปฐม!M447"")"),0.0)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IFERROR(__xludf.DUMMYFUNCTION("IMPORTRANGE(""https://docs.google.com/spreadsheets/d/1SX6NBoVAgQJ6U1MVXOaj8PK2l7WJ3RER9xtqwdhxkhw/edit?usp=sharing"",""นครปฐม!L448"")"),0.0)</f>
        <v>0</v>
      </c>
      <c r="M553" s="198"/>
      <c r="N553" s="203">
        <f>IFERROR(__xludf.DUMMYFUNCTION("IMPORTRANGE(""https://docs.google.com/spreadsheets/d/1SX6NBoVAgQJ6U1MVXOaj8PK2l7WJ3RER9xtqwdhxkhw/edit?usp=sharing"",""นครปฐม!M448"")"),0.0)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IFERROR(__xludf.DUMMYFUNCTION("IMPORTRANGE(""https://docs.google.com/spreadsheets/d/1SX6NBoVAgQJ6U1MVXOaj8PK2l7WJ3RER9xtqwdhxkhw/edit?usp=sharing"",""นครปฐม!L449"")"),0.0)</f>
        <v>0</v>
      </c>
      <c r="M554" s="203"/>
      <c r="N554" s="203">
        <f>IFERROR(__xludf.DUMMYFUNCTION("IMPORTRANGE(""https://docs.google.com/spreadsheets/d/1SX6NBoVAgQJ6U1MVXOaj8PK2l7WJ3RER9xtqwdhxkhw/edit?usp=sharing"",""นครปฐม!M449"")"),0.0)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IFERROR(__xludf.DUMMYFUNCTION("IMPORTRANGE(""https://docs.google.com/spreadsheets/d/1SX6NBoVAgQJ6U1MVXOaj8PK2l7WJ3RER9xtqwdhxkhw/edit?usp=sharing"",""นครปฐม!L450"")"),0.0)</f>
        <v>0</v>
      </c>
      <c r="M555" s="203"/>
      <c r="N555" s="203">
        <f>IFERROR(__xludf.DUMMYFUNCTION("IMPORTRANGE(""https://docs.google.com/spreadsheets/d/1SX6NBoVAgQJ6U1MVXOaj8PK2l7WJ3RER9xtqwdhxkhw/edit?usp=sharing"",""นครปฐม!M450"")"),0.0)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IFERROR(__xludf.DUMMYFUNCTION("IMPORTRANGE(""https://docs.google.com/spreadsheets/d/1SX6NBoVAgQJ6U1MVXOaj8PK2l7WJ3RER9xtqwdhxkhw/edit?usp=sharing"",""นครปฐม!M451"")"),0.0)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IFERROR(__xludf.DUMMYFUNCTION("IMPORTRANGE(""https://docs.google.com/spreadsheets/d/1SX6NBoVAgQJ6U1MVXOaj8PK2l7WJ3RER9xtqwdhxkhw/edit?usp=sharing"",""นครปฐม!M452"")"),0.0)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IFERROR(__xludf.DUMMYFUNCTION("IMPORTRANGE(""https://docs.google.com/spreadsheets/d/1SX6NBoVAgQJ6U1MVXOaj8PK2l7WJ3RER9xtqwdhxkhw/edit?usp=sharing"",""นครปฐม!M453"")"),0.0)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IFERROR(__xludf.DUMMYFUNCTION("IMPORTRANGE(""https://docs.google.com/spreadsheets/d/1SX6NBoVAgQJ6U1MVXOaj8PK2l7WJ3RER9xtqwdhxkhw/edit?usp=sharing"",""นครปฐม!M454"")"),0.0)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IFERROR(__xludf.DUMMYFUNCTION("IMPORTRANGE(""https://docs.google.com/spreadsheets/d/1SX6NBoVAgQJ6U1MVXOaj8PK2l7WJ3RER9xtqwdhxkhw/edit?usp=sharing"",""นครปฐม!I455"")"),0.0)</f>
        <v>0</v>
      </c>
      <c r="J560" s="195">
        <f>IFERROR(__xludf.DUMMYFUNCTION("IMPORTRANGE(""https://docs.google.com/spreadsheets/d/1SX6NBoVAgQJ6U1MVXOaj8PK2l7WJ3RER9xtqwdhxkhw/edit?usp=sharing"",""นครปฐม!J455"")"),0.0)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IFERROR(__xludf.DUMMYFUNCTION("IMPORTRANGE(""https://docs.google.com/spreadsheets/d/1SX6NBoVAgQJ6U1MVXOaj8PK2l7WJ3RER9xtqwdhxkhw/edit?usp=sharing"",""นครปฐม!I456"")"),0.0)</f>
        <v>0</v>
      </c>
      <c r="J561" s="238">
        <f>IFERROR(__xludf.DUMMYFUNCTION("IMPORTRANGE(""https://docs.google.com/spreadsheets/d/1SX6NBoVAgQJ6U1MVXOaj8PK2l7WJ3RER9xtqwdhxkhw/edit?usp=sharing"",""นครปฐม!J456"")"),0.0)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IFERROR(__xludf.DUMMYFUNCTION("IMPORTRANGE(""https://docs.google.com/spreadsheets/d/1SX6NBoVAgQJ6U1MVXOaj8PK2l7WJ3RER9xtqwdhxkhw/edit?usp=sharing"",""นครปฐม!I457"")"),"")</f>
        <v/>
      </c>
      <c r="J562" s="238" t="str">
        <f>IFERROR(__xludf.DUMMYFUNCTION("IMPORTRANGE(""https://docs.google.com/spreadsheets/d/1SX6NBoVAgQJ6U1MVXOaj8PK2l7WJ3RER9xtqwdhxkhw/edit?usp=sharing"",""นครปฐม!J457"")"),"")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IFERROR(__xludf.DUMMYFUNCTION("IMPORTRANGE(""https://docs.google.com/spreadsheets/d/1SX6NBoVAgQJ6U1MVXOaj8PK2l7WJ3RER9xtqwdhxkhw/edit?usp=sharing"",""นครปฐม!I458"")"),"")</f>
        <v/>
      </c>
      <c r="J563" s="222" t="str">
        <f>IFERROR(__xludf.DUMMYFUNCTION("IMPORTRANGE(""https://docs.google.com/spreadsheets/d/1SX6NBoVAgQJ6U1MVXOaj8PK2l7WJ3RER9xtqwdhxkhw/edit?usp=sharing"",""นครปฐม!J458"")"),"")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IFERROR(__xludf.DUMMYFUNCTION("IMPORTRANGE(""https://docs.google.com/spreadsheets/d/1SX6NBoVAgQJ6U1MVXOaj8PK2l7WJ3RER9xtqwdhxkhw/edit?usp=sharing"",""นครปฐม!I459"")"),100.0)</f>
        <v>100</v>
      </c>
      <c r="J564" s="404">
        <f>IFERROR(__xludf.DUMMYFUNCTION("IMPORTRANGE(""https://docs.google.com/spreadsheets/d/1SX6NBoVAgQJ6U1MVXOaj8PK2l7WJ3RER9xtqwdhxkhw/edit?usp=sharing"",""นครปฐม!J459"")"),36.0)</f>
        <v>36</v>
      </c>
      <c r="K564" s="405">
        <f t="shared" si="122"/>
        <v>36</v>
      </c>
      <c r="L564" s="406">
        <f>IFERROR(__xludf.DUMMYFUNCTION("IMPORTRANGE(""https://docs.google.com/spreadsheets/d/1SX6NBoVAgQJ6U1MVXOaj8PK2l7WJ3RER9xtqwdhxkhw/edit?usp=sharing"",""นครปฐม!L459"")"),116160.0)</f>
        <v>116160</v>
      </c>
      <c r="M564" s="406"/>
      <c r="N564" s="406">
        <f>IFERROR(__xludf.DUMMYFUNCTION("IMPORTRANGE(""https://docs.google.com/spreadsheets/d/1SX6NBoVAgQJ6U1MVXOaj8PK2l7WJ3RER9xtqwdhxkhw/edit?usp=sharing"",""นครปฐม!M459"")"),39516.7)</f>
        <v>39516.7</v>
      </c>
      <c r="O564" s="406">
        <f t="shared" ref="O564:O568" si="123">+IF(L564&gt;0,N564*100/L564,0)</f>
        <v>34.01919766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IFERROR(__xludf.DUMMYFUNCTION("IMPORTRANGE(""https://docs.google.com/spreadsheets/d/1SX6NBoVAgQJ6U1MVXOaj8PK2l7WJ3RER9xtqwdhxkhw/edit?usp=sharing"",""นครปฐม!L460"")"),0.0)</f>
        <v>0</v>
      </c>
      <c r="M565" s="197"/>
      <c r="N565" s="203">
        <f>IFERROR(__xludf.DUMMYFUNCTION("IMPORTRANGE(""https://docs.google.com/spreadsheets/d/1SX6NBoVAgQJ6U1MVXOaj8PK2l7WJ3RER9xtqwdhxkhw/edit?usp=sharing"",""นครปฐม!M460"")"),0.0)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IFERROR(__xludf.DUMMYFUNCTION("IMPORTRANGE(""https://docs.google.com/spreadsheets/d/1SX6NBoVAgQJ6U1MVXOaj8PK2l7WJ3RER9xtqwdhxkhw/edit?usp=sharing"",""นครปฐม!L461"")"),116160.0)</f>
        <v>116160</v>
      </c>
      <c r="M566" s="198"/>
      <c r="N566" s="203">
        <f>IFERROR(__xludf.DUMMYFUNCTION("IMPORTRANGE(""https://docs.google.com/spreadsheets/d/1SX6NBoVAgQJ6U1MVXOaj8PK2l7WJ3RER9xtqwdhxkhw/edit?usp=sharing"",""นครปฐม!M461"")"),39516.7)</f>
        <v>39516.7</v>
      </c>
      <c r="O566" s="203">
        <f t="shared" si="123"/>
        <v>34.01919766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IFERROR(__xludf.DUMMYFUNCTION("IMPORTRANGE(""https://docs.google.com/spreadsheets/d/1SX6NBoVAgQJ6U1MVXOaj8PK2l7WJ3RER9xtqwdhxkhw/edit?usp=sharing"",""นครปฐม!L462"")"),0.0)</f>
        <v>0</v>
      </c>
      <c r="M567" s="203"/>
      <c r="N567" s="203">
        <f>IFERROR(__xludf.DUMMYFUNCTION("IMPORTRANGE(""https://docs.google.com/spreadsheets/d/1SX6NBoVAgQJ6U1MVXOaj8PK2l7WJ3RER9xtqwdhxkhw/edit?usp=sharing"",""นครปฐม!M462"")"),0.0)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IFERROR(__xludf.DUMMYFUNCTION("IMPORTRANGE(""https://docs.google.com/spreadsheets/d/1SX6NBoVAgQJ6U1MVXOaj8PK2l7WJ3RER9xtqwdhxkhw/edit?usp=sharing"",""นครปฐม!L463"")"),116160.0)</f>
        <v>116160</v>
      </c>
      <c r="M568" s="203"/>
      <c r="N568" s="203">
        <f>IFERROR(__xludf.DUMMYFUNCTION("IMPORTRANGE(""https://docs.google.com/spreadsheets/d/1SX6NBoVAgQJ6U1MVXOaj8PK2l7WJ3RER9xtqwdhxkhw/edit?usp=sharing"",""นครปฐม!M463"")"),39516.7)</f>
        <v>39516.7</v>
      </c>
      <c r="O568" s="203">
        <f t="shared" si="123"/>
        <v>34.01919766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IFERROR(__xludf.DUMMYFUNCTION("IMPORTRANGE(""https://docs.google.com/spreadsheets/d/1SX6NBoVAgQJ6U1MVXOaj8PK2l7WJ3RER9xtqwdhxkhw/edit?usp=sharing"",""นครปฐม!M464"")"),0.0)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IFERROR(__xludf.DUMMYFUNCTION("IMPORTRANGE(""https://docs.google.com/spreadsheets/d/1SX6NBoVAgQJ6U1MVXOaj8PK2l7WJ3RER9xtqwdhxkhw/edit?usp=sharing"",""นครปฐม!M465"")"),0.0)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IFERROR(__xludf.DUMMYFUNCTION("IMPORTRANGE(""https://docs.google.com/spreadsheets/d/1SX6NBoVAgQJ6U1MVXOaj8PK2l7WJ3RER9xtqwdhxkhw/edit?usp=sharing"",""นครปฐม!M466"")"),31166.7)</f>
        <v>31166.7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IFERROR(__xludf.DUMMYFUNCTION("IMPORTRANGE(""https://docs.google.com/spreadsheets/d/1SX6NBoVAgQJ6U1MVXOaj8PK2l7WJ3RER9xtqwdhxkhw/edit?usp=sharing"",""นครปฐม!M467"")"),8350.0)</f>
        <v>8350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IFERROR(__xludf.DUMMYFUNCTION("IMPORTRANGE(""https://docs.google.com/spreadsheets/d/1SX6NBoVAgQJ6U1MVXOaj8PK2l7WJ3RER9xtqwdhxkhw/edit?usp=sharing"",""นครปฐม!I468"")"),100.0)</f>
        <v>100</v>
      </c>
      <c r="J573" s="453">
        <f>IFERROR(__xludf.DUMMYFUNCTION("IMPORTRANGE(""https://docs.google.com/spreadsheets/d/1SX6NBoVAgQJ6U1MVXOaj8PK2l7WJ3RER9xtqwdhxkhw/edit?usp=sharing"",""นครปฐม!J468"")"),36.0)</f>
        <v>36</v>
      </c>
      <c r="K573" s="236">
        <f>IF(I573&gt;0,J573*100/I573,0)</f>
        <v>36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IFERROR(__xludf.DUMMYFUNCTION("IMPORTRANGE(""https://docs.google.com/spreadsheets/d/1SX6NBoVAgQJ6U1MVXOaj8PK2l7WJ3RER9xtqwdhxkhw/edit?usp=sharing"",""นครปฐม!I470"")"),0.0)</f>
        <v>0</v>
      </c>
      <c r="J575" s="232">
        <f>IFERROR(__xludf.DUMMYFUNCTION("IMPORTRANGE(""https://docs.google.com/spreadsheets/d/1SX6NBoVAgQJ6U1MVXOaj8PK2l7WJ3RER9xtqwdhxkhw/edit?usp=sharing"",""นครปฐม!J470"")"),1.0)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IFERROR(__xludf.DUMMYFUNCTION("IMPORTRANGE(""https://docs.google.com/spreadsheets/d/1SX6NBoVAgQJ6U1MVXOaj8PK2l7WJ3RER9xtqwdhxkhw/edit?usp=sharing"",""นครปฐม!I471"")"),0.0)</f>
        <v>0</v>
      </c>
      <c r="J576" s="232">
        <f>IFERROR(__xludf.DUMMYFUNCTION("IMPORTRANGE(""https://docs.google.com/spreadsheets/d/1SX6NBoVAgQJ6U1MVXOaj8PK2l7WJ3RER9xtqwdhxkhw/edit?usp=sharing"",""นครปฐม!J471"")"),26.0)</f>
        <v>26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IFERROR(__xludf.DUMMYFUNCTION("IMPORTRANGE(""https://docs.google.com/spreadsheets/d/1SX6NBoVAgQJ6U1MVXOaj8PK2l7WJ3RER9xtqwdhxkhw/edit?usp=sharing"",""นครปฐม!I472"")"),0.0)</f>
        <v>0</v>
      </c>
      <c r="J577" s="223">
        <f>IFERROR(__xludf.DUMMYFUNCTION("IMPORTRANGE(""https://docs.google.com/spreadsheets/d/1SX6NBoVAgQJ6U1MVXOaj8PK2l7WJ3RER9xtqwdhxkhw/edit?usp=sharing"",""นครปฐม!J472"")"),10.0)</f>
        <v>10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IFERROR(__xludf.DUMMYFUNCTION("IMPORTRANGE(""https://docs.google.com/spreadsheets/d/1SX6NBoVAgQJ6U1MVXOaj8PK2l7WJ3RER9xtqwdhxkhw/edit?usp=sharing"",""นครปฐม!I473"")"),0.0)</f>
        <v>0</v>
      </c>
      <c r="J578" s="232">
        <f>IFERROR(__xludf.DUMMYFUNCTION("IMPORTRANGE(""https://docs.google.com/spreadsheets/d/1SX6NBoVAgQJ6U1MVXOaj8PK2l7WJ3RER9xtqwdhxkhw/edit?usp=sharing"",""นครปฐม!J473"")"),0.0)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IFERROR(__xludf.DUMMYFUNCTION("IMPORTRANGE(""https://docs.google.com/spreadsheets/d/1SX6NBoVAgQJ6U1MVXOaj8PK2l7WJ3RER9xtqwdhxkhw/edit?usp=sharing"",""นครปฐม!I474"")"),0.0)</f>
        <v>0</v>
      </c>
      <c r="J579" s="232">
        <f>IFERROR(__xludf.DUMMYFUNCTION("IMPORTRANGE(""https://docs.google.com/spreadsheets/d/1SX6NBoVAgQJ6U1MVXOaj8PK2l7WJ3RER9xtqwdhxkhw/edit?usp=sharing"",""นครปฐม!J474"")"),0.0)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IFERROR(__xludf.DUMMYFUNCTION("IMPORTRANGE(""https://docs.google.com/spreadsheets/d/1SX6NBoVAgQJ6U1MVXOaj8PK2l7WJ3RER9xtqwdhxkhw/edit?usp=sharing"",""นครปฐม!I475"")"),0.0)</f>
        <v>0</v>
      </c>
      <c r="J580" s="404">
        <f>IFERROR(__xludf.DUMMYFUNCTION("IMPORTRANGE(""https://docs.google.com/spreadsheets/d/1SX6NBoVAgQJ6U1MVXOaj8PK2l7WJ3RER9xtqwdhxkhw/edit?usp=sharing"",""นครปฐม!J475"")"),0.0)</f>
        <v>0</v>
      </c>
      <c r="K580" s="405">
        <f>IF(I580&gt;0,J580*100/I580,0)</f>
        <v>0</v>
      </c>
      <c r="L580" s="406">
        <f>IFERROR(__xludf.DUMMYFUNCTION("IMPORTRANGE(""https://docs.google.com/spreadsheets/d/1SX6NBoVAgQJ6U1MVXOaj8PK2l7WJ3RER9xtqwdhxkhw/edit?usp=sharing"",""นครปฐม!L475"")"),0.0)</f>
        <v>0</v>
      </c>
      <c r="M580" s="406"/>
      <c r="N580" s="406">
        <f>IFERROR(__xludf.DUMMYFUNCTION("IMPORTRANGE(""https://docs.google.com/spreadsheets/d/1SX6NBoVAgQJ6U1MVXOaj8PK2l7WJ3RER9xtqwdhxkhw/edit?usp=sharing"",""นครปฐม!M475"")"),0.0)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IFERROR(__xludf.DUMMYFUNCTION("IMPORTRANGE(""https://docs.google.com/spreadsheets/d/1SX6NBoVAgQJ6U1MVXOaj8PK2l7WJ3RER9xtqwdhxkhw/edit?usp=sharing"",""นครปฐม!L476"")"),0.0)</f>
        <v>0</v>
      </c>
      <c r="M581" s="197"/>
      <c r="N581" s="203">
        <f>IFERROR(__xludf.DUMMYFUNCTION("IMPORTRANGE(""https://docs.google.com/spreadsheets/d/1SX6NBoVAgQJ6U1MVXOaj8PK2l7WJ3RER9xtqwdhxkhw/edit?usp=sharing"",""นครปฐม!M476"")"),0.0)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IFERROR(__xludf.DUMMYFUNCTION("IMPORTRANGE(""https://docs.google.com/spreadsheets/d/1SX6NBoVAgQJ6U1MVXOaj8PK2l7WJ3RER9xtqwdhxkhw/edit?usp=sharing"",""นครปฐม!L477"")"),0.0)</f>
        <v>0</v>
      </c>
      <c r="M582" s="198"/>
      <c r="N582" s="203">
        <f>IFERROR(__xludf.DUMMYFUNCTION("IMPORTRANGE(""https://docs.google.com/spreadsheets/d/1SX6NBoVAgQJ6U1MVXOaj8PK2l7WJ3RER9xtqwdhxkhw/edit?usp=sharing"",""นครปฐม!M477"")"),0.0)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IFERROR(__xludf.DUMMYFUNCTION("IMPORTRANGE(""https://docs.google.com/spreadsheets/d/1SX6NBoVAgQJ6U1MVXOaj8PK2l7WJ3RER9xtqwdhxkhw/edit?usp=sharing"",""นครปฐม!L478"")"),0.0)</f>
        <v>0</v>
      </c>
      <c r="M583" s="203"/>
      <c r="N583" s="203">
        <f>IFERROR(__xludf.DUMMYFUNCTION("IMPORTRANGE(""https://docs.google.com/spreadsheets/d/1SX6NBoVAgQJ6U1MVXOaj8PK2l7WJ3RER9xtqwdhxkhw/edit?usp=sharing"",""นครปฐม!M478"")"),0.0)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IFERROR(__xludf.DUMMYFUNCTION("IMPORTRANGE(""https://docs.google.com/spreadsheets/d/1SX6NBoVAgQJ6U1MVXOaj8PK2l7WJ3RER9xtqwdhxkhw/edit?usp=sharing"",""นครปฐม!L479"")"),0.0)</f>
        <v>0</v>
      </c>
      <c r="M584" s="203"/>
      <c r="N584" s="203">
        <f>IFERROR(__xludf.DUMMYFUNCTION("IMPORTRANGE(""https://docs.google.com/spreadsheets/d/1SX6NBoVAgQJ6U1MVXOaj8PK2l7WJ3RER9xtqwdhxkhw/edit?usp=sharing"",""นครปฐม!M479"")"),0.0)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IFERROR(__xludf.DUMMYFUNCTION("IMPORTRANGE(""https://docs.google.com/spreadsheets/d/1SX6NBoVAgQJ6U1MVXOaj8PK2l7WJ3RER9xtqwdhxkhw/edit?usp=sharing"",""นครปฐม!M480"")"),0.0)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IFERROR(__xludf.DUMMYFUNCTION("IMPORTRANGE(""https://docs.google.com/spreadsheets/d/1SX6NBoVAgQJ6U1MVXOaj8PK2l7WJ3RER9xtqwdhxkhw/edit?usp=sharing"",""นครปฐม!M481"")"),0.0)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IFERROR(__xludf.DUMMYFUNCTION("IMPORTRANGE(""https://docs.google.com/spreadsheets/d/1SX6NBoVAgQJ6U1MVXOaj8PK2l7WJ3RER9xtqwdhxkhw/edit?usp=sharing"",""นครปฐม!M482"")"),0.0)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IFERROR(__xludf.DUMMYFUNCTION("IMPORTRANGE(""https://docs.google.com/spreadsheets/d/1SX6NBoVAgQJ6U1MVXOaj8PK2l7WJ3RER9xtqwdhxkhw/edit?usp=sharing"",""นครปฐม!M483"")"),0.0)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IFERROR(__xludf.DUMMYFUNCTION("IMPORTRANGE(""https://docs.google.com/spreadsheets/d/1SX6NBoVAgQJ6U1MVXOaj8PK2l7WJ3RER9xtqwdhxkhw/edit?usp=sharing"",""นครปฐม!I484"")"),0.0)</f>
        <v>0</v>
      </c>
      <c r="J589" s="222">
        <f>IFERROR(__xludf.DUMMYFUNCTION("IMPORTRANGE(""https://docs.google.com/spreadsheets/d/1SX6NBoVAgQJ6U1MVXOaj8PK2l7WJ3RER9xtqwdhxkhw/edit?usp=sharing"",""นครปฐม!J484"")"),0.0)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IFERROR(__xludf.DUMMYFUNCTION("IMPORTRANGE(""https://docs.google.com/spreadsheets/d/1SX6NBoVAgQJ6U1MVXOaj8PK2l7WJ3RER9xtqwdhxkhw/edit?usp=sharing"",""นครปฐม!I485"")"),0.0)</f>
        <v>0</v>
      </c>
      <c r="J590" s="222">
        <f>IFERROR(__xludf.DUMMYFUNCTION("IMPORTRANGE(""https://docs.google.com/spreadsheets/d/1SX6NBoVAgQJ6U1MVXOaj8PK2l7WJ3RER9xtqwdhxkhw/edit?usp=sharing"",""นครปฐม!J485"")"),0.0)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IFERROR(__xludf.DUMMYFUNCTION("IMPORTRANGE(""https://docs.google.com/spreadsheets/d/1SX6NBoVAgQJ6U1MVXOaj8PK2l7WJ3RER9xtqwdhxkhw/edit?usp=sharing"",""นครปฐม!I486"")"),0.0)</f>
        <v>0</v>
      </c>
      <c r="J591" s="222">
        <f>IFERROR(__xludf.DUMMYFUNCTION("IMPORTRANGE(""https://docs.google.com/spreadsheets/d/1SX6NBoVAgQJ6U1MVXOaj8PK2l7WJ3RER9xtqwdhxkhw/edit?usp=sharing"",""นครปฐม!J486"")"),0.0)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IFERROR(__xludf.DUMMYFUNCTION("IMPORTRANGE(""https://docs.google.com/spreadsheets/d/1SX6NBoVAgQJ6U1MVXOaj8PK2l7WJ3RER9xtqwdhxkhw/edit?usp=sharing"",""นครปฐม!I487"")"),0.0)</f>
        <v>0</v>
      </c>
      <c r="J592" s="222">
        <f>IFERROR(__xludf.DUMMYFUNCTION("IMPORTRANGE(""https://docs.google.com/spreadsheets/d/1SX6NBoVAgQJ6U1MVXOaj8PK2l7WJ3RER9xtqwdhxkhw/edit?usp=sharing"",""นครปฐม!J487"")"),0.0)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IFERROR(__xludf.DUMMYFUNCTION("IMPORTRANGE(""https://docs.google.com/spreadsheets/d/1SX6NBoVAgQJ6U1MVXOaj8PK2l7WJ3RER9xtqwdhxkhw/edit?usp=sharing"",""นครปฐม!I488"")"),0.0)</f>
        <v>0</v>
      </c>
      <c r="J593" s="222">
        <f>IFERROR(__xludf.DUMMYFUNCTION("IMPORTRANGE(""https://docs.google.com/spreadsheets/d/1SX6NBoVAgQJ6U1MVXOaj8PK2l7WJ3RER9xtqwdhxkhw/edit?usp=sharing"",""นครปฐม!J488"")"),0.0)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IFERROR(__xludf.DUMMYFUNCTION("IMPORTRANGE(""https://docs.google.com/spreadsheets/d/1SX6NBoVAgQJ6U1MVXOaj8PK2l7WJ3RER9xtqwdhxkhw/edit?usp=sharing"",""นครปฐม!I489"")"),0.0)</f>
        <v>0</v>
      </c>
      <c r="J594" s="222">
        <f>IFERROR(__xludf.DUMMYFUNCTION("IMPORTRANGE(""https://docs.google.com/spreadsheets/d/1SX6NBoVAgQJ6U1MVXOaj8PK2l7WJ3RER9xtqwdhxkhw/edit?usp=sharing"",""นครปฐม!J489"")"),0.0)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IFERROR(__xludf.DUMMYFUNCTION("IMPORTRANGE(""https://docs.google.com/spreadsheets/d/1SX6NBoVAgQJ6U1MVXOaj8PK2l7WJ3RER9xtqwdhxkhw/edit?usp=sharing"",""นครปฐม!I490"")"),0.0)</f>
        <v>0</v>
      </c>
      <c r="J595" s="222">
        <f>IFERROR(__xludf.DUMMYFUNCTION("IMPORTRANGE(""https://docs.google.com/spreadsheets/d/1SX6NBoVAgQJ6U1MVXOaj8PK2l7WJ3RER9xtqwdhxkhw/edit?usp=sharing"",""นครปฐม!J490"")"),0.0)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IFERROR(__xludf.DUMMYFUNCTION("IMPORTRANGE(""https://docs.google.com/spreadsheets/d/1SX6NBoVAgQJ6U1MVXOaj8PK2l7WJ3RER9xtqwdhxkhw/edit?usp=sharing"",""นครปฐม!I491"")"),0.0)</f>
        <v>0</v>
      </c>
      <c r="J596" s="275">
        <f>IFERROR(__xludf.DUMMYFUNCTION("IMPORTRANGE(""https://docs.google.com/spreadsheets/d/1SX6NBoVAgQJ6U1MVXOaj8PK2l7WJ3RER9xtqwdhxkhw/edit?usp=sharing"",""นครปฐม!J491"")"),0.0)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IFERROR(__xludf.DUMMYFUNCTION("IMPORTRANGE(""https://docs.google.com/spreadsheets/d/1SX6NBoVAgQJ6U1MVXOaj8PK2l7WJ3RER9xtqwdhxkhw/edit?usp=sharing"",""นครปฐม!I492"")"),50.0)</f>
        <v>50</v>
      </c>
      <c r="J597" s="520">
        <f>IFERROR(__xludf.DUMMYFUNCTION("IMPORTRANGE(""https://docs.google.com/spreadsheets/d/1SX6NBoVAgQJ6U1MVXOaj8PK2l7WJ3RER9xtqwdhxkhw/edit?usp=sharing"",""นครปฐม!J492"")"),0.0)</f>
        <v>0</v>
      </c>
      <c r="K597" s="444">
        <f>IF(I597&gt;0,J597*100/I597,0)</f>
        <v>0</v>
      </c>
      <c r="L597" s="445">
        <f>IFERROR(__xludf.DUMMYFUNCTION("IMPORTRANGE(""https://docs.google.com/spreadsheets/d/1SX6NBoVAgQJ6U1MVXOaj8PK2l7WJ3RER9xtqwdhxkhw/edit?usp=sharing"",""นครปฐม!L492"")"),4550.0)</f>
        <v>4550</v>
      </c>
      <c r="M597" s="445"/>
      <c r="N597" s="445">
        <f>IFERROR(__xludf.DUMMYFUNCTION("IMPORTRANGE(""https://docs.google.com/spreadsheets/d/1SX6NBoVAgQJ6U1MVXOaj8PK2l7WJ3RER9xtqwdhxkhw/edit?usp=sharing"",""นครปฐม!M492"")"),400.0)</f>
        <v>400</v>
      </c>
      <c r="O597" s="445">
        <f t="shared" ref="O597:O601" si="127">+IF(L597&gt;0,N597*100/L597,0)</f>
        <v>8.791208791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IFERROR(__xludf.DUMMYFUNCTION("IMPORTRANGE(""https://docs.google.com/spreadsheets/d/1SX6NBoVAgQJ6U1MVXOaj8PK2l7WJ3RER9xtqwdhxkhw/edit?usp=sharing"",""นครปฐม!L493"")"),0.0)</f>
        <v>0</v>
      </c>
      <c r="M598" s="197"/>
      <c r="N598" s="203">
        <f>IFERROR(__xludf.DUMMYFUNCTION("IMPORTRANGE(""https://docs.google.com/spreadsheets/d/1SX6NBoVAgQJ6U1MVXOaj8PK2l7WJ3RER9xtqwdhxkhw/edit?usp=sharing"",""นครปฐม!M493"")"),0.0)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IFERROR(__xludf.DUMMYFUNCTION("IMPORTRANGE(""https://docs.google.com/spreadsheets/d/1SX6NBoVAgQJ6U1MVXOaj8PK2l7WJ3RER9xtqwdhxkhw/edit?usp=sharing"",""นครปฐม!L494"")"),4550.0)</f>
        <v>4550</v>
      </c>
      <c r="M599" s="198"/>
      <c r="N599" s="203">
        <f>IFERROR(__xludf.DUMMYFUNCTION("IMPORTRANGE(""https://docs.google.com/spreadsheets/d/1SX6NBoVAgQJ6U1MVXOaj8PK2l7WJ3RER9xtqwdhxkhw/edit?usp=sharing"",""นครปฐม!M494"")"),400.0)</f>
        <v>400</v>
      </c>
      <c r="O599" s="203">
        <f t="shared" si="127"/>
        <v>8.791208791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IFERROR(__xludf.DUMMYFUNCTION("IMPORTRANGE(""https://docs.google.com/spreadsheets/d/1SX6NBoVAgQJ6U1MVXOaj8PK2l7WJ3RER9xtqwdhxkhw/edit?usp=sharing"",""นครปฐม!L495"")"),0.0)</f>
        <v>0</v>
      </c>
      <c r="M600" s="203"/>
      <c r="N600" s="203">
        <f>IFERROR(__xludf.DUMMYFUNCTION("IMPORTRANGE(""https://docs.google.com/spreadsheets/d/1SX6NBoVAgQJ6U1MVXOaj8PK2l7WJ3RER9xtqwdhxkhw/edit?usp=sharing"",""นครปฐม!M495"")"),0.0)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IFERROR(__xludf.DUMMYFUNCTION("IMPORTRANGE(""https://docs.google.com/spreadsheets/d/1SX6NBoVAgQJ6U1MVXOaj8PK2l7WJ3RER9xtqwdhxkhw/edit?usp=sharing"",""นครปฐม!L496"")"),4550.0)</f>
        <v>4550</v>
      </c>
      <c r="M601" s="203"/>
      <c r="N601" s="203">
        <f>IFERROR(__xludf.DUMMYFUNCTION("IMPORTRANGE(""https://docs.google.com/spreadsheets/d/1SX6NBoVAgQJ6U1MVXOaj8PK2l7WJ3RER9xtqwdhxkhw/edit?usp=sharing"",""นครปฐม!M496"")"),400.0)</f>
        <v>400</v>
      </c>
      <c r="O601" s="203">
        <f t="shared" si="127"/>
        <v>8.791208791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IFERROR(__xludf.DUMMYFUNCTION("IMPORTRANGE(""https://docs.google.com/spreadsheets/d/1SX6NBoVAgQJ6U1MVXOaj8PK2l7WJ3RER9xtqwdhxkhw/edit?usp=sharing"",""นครปฐม!M497"")"),0.0)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IFERROR(__xludf.DUMMYFUNCTION("IMPORTRANGE(""https://docs.google.com/spreadsheets/d/1SX6NBoVAgQJ6U1MVXOaj8PK2l7WJ3RER9xtqwdhxkhw/edit?usp=sharing"",""นครปฐม!M498"")"),0.0)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IFERROR(__xludf.DUMMYFUNCTION("IMPORTRANGE(""https://docs.google.com/spreadsheets/d/1SX6NBoVAgQJ6U1MVXOaj8PK2l7WJ3RER9xtqwdhxkhw/edit?usp=sharing"",""นครปฐม!M499"")"),400.0)</f>
        <v>400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IFERROR(__xludf.DUMMYFUNCTION("IMPORTRANGE(""https://docs.google.com/spreadsheets/d/1SX6NBoVAgQJ6U1MVXOaj8PK2l7WJ3RER9xtqwdhxkhw/edit?usp=sharing"",""นครปฐม!M500"")"),0.0)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IFERROR(__xludf.DUMMYFUNCTION("IMPORTRANGE(""https://docs.google.com/spreadsheets/d/1SX6NBoVAgQJ6U1MVXOaj8PK2l7WJ3RER9xtqwdhxkhw/edit?usp=sharing"",""นครปฐม!J502"")"),0.0)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IFERROR(__xludf.DUMMYFUNCTION("IMPORTRANGE(""https://docs.google.com/spreadsheets/d/1SX6NBoVAgQJ6U1MVXOaj8PK2l7WJ3RER9xtqwdhxkhw/edit?usp=sharing"",""นครปฐม!J503"")"),1.0)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IFERROR(__xludf.DUMMYFUNCTION("IMPORTRANGE(""https://docs.google.com/spreadsheets/d/1SX6NBoVAgQJ6U1MVXOaj8PK2l7WJ3RER9xtqwdhxkhw/edit?usp=sharing"",""นครปฐม!J166"")"),0.0)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IFERROR(__xludf.DUMMYFUNCTION("IMPORTRANGE(""https://docs.google.com/spreadsheets/d/1SX6NBoVAgQJ6U1MVXOaj8PK2l7WJ3RER9xtqwdhxkhw/edit?usp=sharing"",""นครปฐม!J166"")"),0.0)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IFERROR(__xludf.DUMMYFUNCTION("IMPORTRANGE(""https://docs.google.com/spreadsheets/d/1SX6NBoVAgQJ6U1MVXOaj8PK2l7WJ3RER9xtqwdhxkhw/edit?usp=sharing"",""นครปฐม!I506"")"),50.0)</f>
        <v>50</v>
      </c>
      <c r="J611" s="195">
        <f>IFERROR(__xludf.DUMMYFUNCTION("IMPORTRANGE(""https://docs.google.com/spreadsheets/d/1SX6NBoVAgQJ6U1MVXOaj8PK2l7WJ3RER9xtqwdhxkhw/edit?usp=sharing"",""นครปฐม!J506"")"),0.0)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IFERROR(__xludf.DUMMYFUNCTION("IMPORTRANGE(""https://docs.google.com/spreadsheets/d/1SX6NBoVAgQJ6U1MVXOaj8PK2l7WJ3RER9xtqwdhxkhw/edit?usp=sharing"",""นครปฐม!I507"")"),0.0)</f>
        <v>0</v>
      </c>
      <c r="J612" s="232">
        <f>IFERROR(__xludf.DUMMYFUNCTION("IMPORTRANGE(""https://docs.google.com/spreadsheets/d/1SX6NBoVAgQJ6U1MVXOaj8PK2l7WJ3RER9xtqwdhxkhw/edit?usp=sharing"",""นครปฐม!J507"")"),0.0)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IFERROR(__xludf.DUMMYFUNCTION("IMPORTRANGE(""https://docs.google.com/spreadsheets/d/1SX6NBoVAgQJ6U1MVXOaj8PK2l7WJ3RER9xtqwdhxkhw/edit?usp=sharing"",""นครปฐม!I508"")"),0.0)</f>
        <v>0</v>
      </c>
      <c r="J613" s="232">
        <f>IFERROR(__xludf.DUMMYFUNCTION("IMPORTRANGE(""https://docs.google.com/spreadsheets/d/1SX6NBoVAgQJ6U1MVXOaj8PK2l7WJ3RER9xtqwdhxkhw/edit?usp=sharing"",""นครปฐม!J508"")"),0.0)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IFERROR(__xludf.DUMMYFUNCTION("IMPORTRANGE(""https://docs.google.com/spreadsheets/d/1SX6NBoVAgQJ6U1MVXOaj8PK2l7WJ3RER9xtqwdhxkhw/edit?usp=sharing"",""นครปฐม!I509"")"),0.0)</f>
        <v>0</v>
      </c>
      <c r="J614" s="232">
        <f>IFERROR(__xludf.DUMMYFUNCTION("IMPORTRANGE(""https://docs.google.com/spreadsheets/d/1SX6NBoVAgQJ6U1MVXOaj8PK2l7WJ3RER9xtqwdhxkhw/edit?usp=sharing"",""นครปฐม!J509"")"),0.0)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IFERROR(__xludf.DUMMYFUNCTION("IMPORTRANGE(""https://docs.google.com/spreadsheets/d/1SX6NBoVAgQJ6U1MVXOaj8PK2l7WJ3RER9xtqwdhxkhw/edit?usp=sharing"",""นครปฐม!I510"")"),0.0)</f>
        <v>0</v>
      </c>
      <c r="J615" s="232">
        <f>IFERROR(__xludf.DUMMYFUNCTION("IMPORTRANGE(""https://docs.google.com/spreadsheets/d/1SX6NBoVAgQJ6U1MVXOaj8PK2l7WJ3RER9xtqwdhxkhw/edit?usp=sharing"",""นครปฐม!J510"")"),0.0)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IFERROR(__xludf.DUMMYFUNCTION("IMPORTRANGE(""https://docs.google.com/spreadsheets/d/1SX6NBoVAgQJ6U1MVXOaj8PK2l7WJ3RER9xtqwdhxkhw/edit?usp=sharing"",""นครปฐม!I511"")"),0.0)</f>
        <v>0</v>
      </c>
      <c r="J616" s="232">
        <f>IFERROR(__xludf.DUMMYFUNCTION("IMPORTRANGE(""https://docs.google.com/spreadsheets/d/1SX6NBoVAgQJ6U1MVXOaj8PK2l7WJ3RER9xtqwdhxkhw/edit?usp=sharing"",""นครปฐม!J511"")"),0.0)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IFERROR(__xludf.DUMMYFUNCTION("IMPORTRANGE(""https://docs.google.com/spreadsheets/d/1SX6NBoVAgQJ6U1MVXOaj8PK2l7WJ3RER9xtqwdhxkhw/edit?usp=sharing"",""นครปฐม!I512"")"),0.0)</f>
        <v>0</v>
      </c>
      <c r="J617" s="222">
        <f>IFERROR(__xludf.DUMMYFUNCTION("IMPORTRANGE(""https://docs.google.com/spreadsheets/d/1SX6NBoVAgQJ6U1MVXOaj8PK2l7WJ3RER9xtqwdhxkhw/edit?usp=sharing"",""นครปฐม!J512"")"),0.0)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IFERROR(__xludf.DUMMYFUNCTION("IMPORTRANGE(""https://docs.google.com/spreadsheets/d/1SX6NBoVAgQJ6U1MVXOaj8PK2l7WJ3RER9xtqwdhxkhw/edit?usp=sharing"",""นครปฐม!I513"")"),0.0)</f>
        <v>0</v>
      </c>
      <c r="J618" s="223">
        <f>IFERROR(__xludf.DUMMYFUNCTION("IMPORTRANGE(""https://docs.google.com/spreadsheets/d/1SX6NBoVAgQJ6U1MVXOaj8PK2l7WJ3RER9xtqwdhxkhw/edit?usp=sharing"",""นครปฐม!J513"")"),0.0)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IFERROR(__xludf.DUMMYFUNCTION("IMPORTRANGE(""https://docs.google.com/spreadsheets/d/1SX6NBoVAgQJ6U1MVXOaj8PK2l7WJ3RER9xtqwdhxkhw/edit?usp=sharing"",""นครปฐม!I514"")"),0.0)</f>
        <v>0</v>
      </c>
      <c r="J619" s="223">
        <f>IFERROR(__xludf.DUMMYFUNCTION("IMPORTRANGE(""https://docs.google.com/spreadsheets/d/1SX6NBoVAgQJ6U1MVXOaj8PK2l7WJ3RER9xtqwdhxkhw/edit?usp=sharing"",""นครปฐม!J514"")"),0.0)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IFERROR(__xludf.DUMMYFUNCTION("IMPORTRANGE(""https://docs.google.com/spreadsheets/d/1SX6NBoVAgQJ6U1MVXOaj8PK2l7WJ3RER9xtqwdhxkhw/edit?usp=sharing"",""นครปฐม!I515"")"),0.0)</f>
        <v>0</v>
      </c>
      <c r="J620" s="237">
        <f>IFERROR(__xludf.DUMMYFUNCTION("IMPORTRANGE(""https://docs.google.com/spreadsheets/d/1SX6NBoVAgQJ6U1MVXOaj8PK2l7WJ3RER9xtqwdhxkhw/edit?usp=sharing"",""นครปฐม!J515"")"),0.0)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IFERROR(__xludf.DUMMYFUNCTION("IMPORTRANGE(""https://docs.google.com/spreadsheets/d/1SX6NBoVAgQJ6U1MVXOaj8PK2l7WJ3RER9xtqwdhxkhw/edit?usp=sharing"",""นครปฐม!I516"")"),0.0)</f>
        <v>0</v>
      </c>
      <c r="J621" s="237">
        <f>IFERROR(__xludf.DUMMYFUNCTION("IMPORTRANGE(""https://docs.google.com/spreadsheets/d/1SX6NBoVAgQJ6U1MVXOaj8PK2l7WJ3RER9xtqwdhxkhw/edit?usp=sharing"",""นครปฐม!J516"")"),0.0)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IFERROR(__xludf.DUMMYFUNCTION("IMPORTRANGE(""https://docs.google.com/spreadsheets/d/1SX6NBoVAgQJ6U1MVXOaj8PK2l7WJ3RER9xtqwdhxkhw/edit?usp=sharing"",""นครปฐม!I517"")"),0.0)</f>
        <v>0</v>
      </c>
      <c r="J622" s="223">
        <f>IFERROR(__xludf.DUMMYFUNCTION("IMPORTRANGE(""https://docs.google.com/spreadsheets/d/1SX6NBoVAgQJ6U1MVXOaj8PK2l7WJ3RER9xtqwdhxkhw/edit?usp=sharing"",""นครปฐม!J517"")"),0.0)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IFERROR(__xludf.DUMMYFUNCTION("IMPORTRANGE(""https://docs.google.com/spreadsheets/d/1SX6NBoVAgQJ6U1MVXOaj8PK2l7WJ3RER9xtqwdhxkhw/edit?usp=sharing"",""นครปฐม!I518"")"),0.0)</f>
        <v>0</v>
      </c>
      <c r="J623" s="223">
        <f>IFERROR(__xludf.DUMMYFUNCTION("IMPORTRANGE(""https://docs.google.com/spreadsheets/d/1SX6NBoVAgQJ6U1MVXOaj8PK2l7WJ3RER9xtqwdhxkhw/edit?usp=sharing"",""นครปฐม!J518"")"),0.0)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IFERROR(__xludf.DUMMYFUNCTION("IMPORTRANGE(""https://docs.google.com/spreadsheets/d/1SX6NBoVAgQJ6U1MVXOaj8PK2l7WJ3RER9xtqwdhxkhw/edit?usp=sharing"",""นครปฐม!I519"")"),0.0)</f>
        <v>0</v>
      </c>
      <c r="J624" s="222">
        <f>IFERROR(__xludf.DUMMYFUNCTION("IMPORTRANGE(""https://docs.google.com/spreadsheets/d/1SX6NBoVAgQJ6U1MVXOaj8PK2l7WJ3RER9xtqwdhxkhw/edit?usp=sharing"",""นครปฐม!J519"")"),0.0)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IFERROR(__xludf.DUMMYFUNCTION("IMPORTRANGE(""https://docs.google.com/spreadsheets/d/1SX6NBoVAgQJ6U1MVXOaj8PK2l7WJ3RER9xtqwdhxkhw/edit?usp=sharing"",""นครปฐม!I520"")"),0.0)</f>
        <v>0</v>
      </c>
      <c r="J625" s="223">
        <f>IFERROR(__xludf.DUMMYFUNCTION("IMPORTRANGE(""https://docs.google.com/spreadsheets/d/1SX6NBoVAgQJ6U1MVXOaj8PK2l7WJ3RER9xtqwdhxkhw/edit?usp=sharing"",""นครปฐม!J520"")"),0.0)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IFERROR(__xludf.DUMMYFUNCTION("IMPORTRANGE(""https://docs.google.com/spreadsheets/d/1SX6NBoVAgQJ6U1MVXOaj8PK2l7WJ3RER9xtqwdhxkhw/edit?usp=sharing"",""นครปฐม!I521"")"),0.0)</f>
        <v>0</v>
      </c>
      <c r="J626" s="223">
        <f>IFERROR(__xludf.DUMMYFUNCTION("IMPORTRANGE(""https://docs.google.com/spreadsheets/d/1SX6NBoVAgQJ6U1MVXOaj8PK2l7WJ3RER9xtqwdhxkhw/edit?usp=sharing"",""นครปฐม!J521"")"),0.0)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IFERROR(__xludf.DUMMYFUNCTION("IMPORTRANGE(""https://docs.google.com/spreadsheets/d/1SX6NBoVAgQJ6U1MVXOaj8PK2l7WJ3RER9xtqwdhxkhw/edit?usp=sharing"",""นครปฐม!I523"")"),3160000.0)</f>
        <v>3160000</v>
      </c>
      <c r="J628" s="374">
        <f>IFERROR(__xludf.DUMMYFUNCTION("IMPORTRANGE(""https://docs.google.com/spreadsheets/d/1SX6NBoVAgQJ6U1MVXOaj8PK2l7WJ3RER9xtqwdhxkhw/edit?usp=sharing"",""นครปฐม!J523"")"),0.0)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IFERROR(__xludf.DUMMYFUNCTION("IMPORTRANGE(""https://docs.google.com/spreadsheets/d/1SX6NBoVAgQJ6U1MVXOaj8PK2l7WJ3RER9xtqwdhxkhw/edit?usp=sharing"",""นครปฐม!I524"")"),70.0)</f>
        <v>70</v>
      </c>
      <c r="J629" s="374">
        <f>IFERROR(__xludf.DUMMYFUNCTION("IMPORTRANGE(""https://docs.google.com/spreadsheets/d/1SX6NBoVAgQJ6U1MVXOaj8PK2l7WJ3RER9xtqwdhxkhw/edit?usp=sharing"",""นครปฐม!J524"")"),0.0)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IFERROR(__xludf.DUMMYFUNCTION("IMPORTRANGE(""https://docs.google.com/spreadsheets/d/1SX6NBoVAgQJ6U1MVXOaj8PK2l7WJ3RER9xtqwdhxkhw/edit?usp=sharing"",""นครปฐม!I525"")"),1274944.38)</f>
        <v>1274944.38</v>
      </c>
      <c r="J630" s="374">
        <f>IFERROR(__xludf.DUMMYFUNCTION("IMPORTRANGE(""https://docs.google.com/spreadsheets/d/1SX6NBoVAgQJ6U1MVXOaj8PK2l7WJ3RER9xtqwdhxkhw/edit?usp=sharing"",""นครปฐม!J525"")"),231598.37)</f>
        <v>231598.37</v>
      </c>
      <c r="K630" s="375">
        <f t="shared" si="130"/>
        <v>18.16537048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IFERROR(__xludf.DUMMYFUNCTION("IMPORTRANGE(""https://docs.google.com/spreadsheets/d/1SX6NBoVAgQJ6U1MVXOaj8PK2l7WJ3RER9xtqwdhxkhw/edit?usp=sharing"",""นครปฐม!I526"")"),31.0)</f>
        <v>31</v>
      </c>
      <c r="J631" s="374">
        <f>IFERROR(__xludf.DUMMYFUNCTION("IMPORTRANGE(""https://docs.google.com/spreadsheets/d/1SX6NBoVAgQJ6U1MVXOaj8PK2l7WJ3RER9xtqwdhxkhw/edit?usp=sharing"",""นครปฐม!J526"")"),30.0)</f>
        <v>30</v>
      </c>
      <c r="K631" s="375">
        <f t="shared" si="130"/>
        <v>96.77419355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IFERROR(__xludf.DUMMYFUNCTION("IMPORTRANGE(""https://docs.google.com/spreadsheets/d/1SX6NBoVAgQJ6U1MVXOaj8PK2l7WJ3RER9xtqwdhxkhw/edit?usp=sharing"",""นครปฐม!I527"")"),527836.61)</f>
        <v>527836.61</v>
      </c>
      <c r="J632" s="374">
        <f>IFERROR(__xludf.DUMMYFUNCTION("IMPORTRANGE(""https://docs.google.com/spreadsheets/d/1SX6NBoVAgQJ6U1MVXOaj8PK2l7WJ3RER9xtqwdhxkhw/edit?usp=sharing"",""นครปฐม!J527"")"),22807.31)</f>
        <v>22807.31</v>
      </c>
      <c r="K632" s="375">
        <f t="shared" si="130"/>
        <v>4.320903395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IFERROR(__xludf.DUMMYFUNCTION("IMPORTRANGE(""https://docs.google.com/spreadsheets/d/1SX6NBoVAgQJ6U1MVXOaj8PK2l7WJ3RER9xtqwdhxkhw/edit?usp=sharing"",""นครปฐม!I528"")"),262.0)</f>
        <v>262</v>
      </c>
      <c r="J633" s="374">
        <f>IFERROR(__xludf.DUMMYFUNCTION("IMPORTRANGE(""https://docs.google.com/spreadsheets/d/1SX6NBoVAgQJ6U1MVXOaj8PK2l7WJ3RER9xtqwdhxkhw/edit?usp=sharing"",""นครปฐม!J528"")"),6.0)</f>
        <v>6</v>
      </c>
      <c r="K633" s="375">
        <f t="shared" si="130"/>
        <v>2.290076336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IFERROR(__xludf.DUMMYFUNCTION("IMPORTRANGE(""https://docs.google.com/spreadsheets/d/1SX6NBoVAgQJ6U1MVXOaj8PK2l7WJ3RER9xtqwdhxkhw/edit?usp=sharing"",""นครปฐม!I529"")"),4410000.0)</f>
        <v>4410000</v>
      </c>
      <c r="J634" s="374">
        <f>IFERROR(__xludf.DUMMYFUNCTION("IMPORTRANGE(""https://docs.google.com/spreadsheets/d/1SX6NBoVAgQJ6U1MVXOaj8PK2l7WJ3RER9xtqwdhxkhw/edit?usp=sharing"",""นครปฐม!J529"")"),0.0)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IFERROR(__xludf.DUMMYFUNCTION("IMPORTRANGE(""https://docs.google.com/spreadsheets/d/1SX6NBoVAgQJ6U1MVXOaj8PK2l7WJ3RER9xtqwdhxkhw/edit?usp=sharing"",""นครปฐม!I530"")"),94.0)</f>
        <v>94</v>
      </c>
      <c r="J635" s="544">
        <f>IFERROR(__xludf.DUMMYFUNCTION("IMPORTRANGE(""https://docs.google.com/spreadsheets/d/1SX6NBoVAgQJ6U1MVXOaj8PK2l7WJ3RER9xtqwdhxkhw/edit?usp=sharing"",""นครปฐม!J530"")"),0.0)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