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\Downloads\"/>
    </mc:Choice>
  </mc:AlternateContent>
  <bookViews>
    <workbookView xWindow="0" yWindow="0" windowWidth="21600" windowHeight="9540" tabRatio="729" activeTab="1"/>
  </bookViews>
  <sheets>
    <sheet name="ปร.5(งานอาคาร)" sheetId="22" r:id="rId1"/>
    <sheet name="ปร. 4(งานอาคาร)" sheetId="1" r:id="rId2"/>
    <sheet name="Factor F " sheetId="34" r:id="rId3"/>
  </sheets>
  <externalReferences>
    <externalReference r:id="rId4"/>
  </externalReferences>
  <definedNames>
    <definedName name="portland5">#REF!</definedName>
    <definedName name="_xlnm.Print_Area" localSheetId="1">'ปร. 4(งานอาคาร)'!$A$1:$J$101</definedName>
    <definedName name="_xlnm.Print_Area" localSheetId="0">'ปร.5(งานอาคาร)'!$A$1:$F$60</definedName>
    <definedName name="_xlnm.Print_Titles" localSheetId="1">'ปร. 4(งานอาคาร)'!$1:$5</definedName>
    <definedName name="WAX">#REF!</definedName>
    <definedName name="กรวดน้ำจืด">#REF!</definedName>
    <definedName name="กระเบื้องเคลือบขาว4x4">#REF!</definedName>
    <definedName name="กระเบื้องเคลือบขาว8x8">#REF!</definedName>
    <definedName name="กระเบื้องเคลือบสีลวดลาย8x8">#REF!</definedName>
    <definedName name="กระเบื้องเซรามิคเคลือบผิวด้าน8x8">#REF!</definedName>
    <definedName name="กระเบื้องเซรามิคไม่เคลือบผิว4x8">#REF!</definedName>
    <definedName name="กระเบื้องเซรามิคสีลวดลาย12x12">#REF!</definedName>
    <definedName name="กระเบื้องเซรามิคสีลวดลาย8x10">#REF!</definedName>
    <definedName name="กระเบื้องแผ่นเรียบ4มม.">#REF!</definedName>
    <definedName name="กระเบื้องแผ่นเรียบ6มม.">#REF!</definedName>
    <definedName name="กระเบื้องแผ่นเรียบ8มม.">#REF!</definedName>
    <definedName name="กระเบื้องยาง">#REF!</definedName>
    <definedName name="กระเบื้องยางหนา">#REF!</definedName>
    <definedName name="กาว">#REF!</definedName>
    <definedName name="ขอยึด">#REF!</definedName>
    <definedName name="เคร่าไม้เนื้อแข็ง">#REF!</definedName>
    <definedName name="โครงเคร่าเหล็ก">#REF!</definedName>
    <definedName name="ฉาบรอยต่อ">#REF!</definedName>
    <definedName name="ตะปู3" localSheetId="0">[1]ราคาวัสดุที่แหล่ง!$F$50</definedName>
    <definedName name="ตะปู3">#REF!</definedName>
    <definedName name="ตะปูเกลียว">#REF!</definedName>
    <definedName name="ทรายละเอียด">#REF!</definedName>
    <definedName name="ทรายหยาบ" localSheetId="0">[1]ราคาวัสดุที่แหล่ง!$F$16</definedName>
    <definedName name="ทรายหยาบ">#REF!</definedName>
    <definedName name="น้ำยากันซึม">#REF!</definedName>
    <definedName name="ปร.6">#REF!</definedName>
    <definedName name="ปูนก่อฉาบ">#REF!</definedName>
    <definedName name="ปูนขาว">#REF!</definedName>
    <definedName name="ปูนขาวผสมสีฝุ่น">#REF!</definedName>
    <definedName name="ปูนขาวยาแนว">#REF!</definedName>
    <definedName name="ปูนซีเมนต์ขาว">#REF!</definedName>
    <definedName name="ปูนซีเมนต์ปอร์ตแลนด์">#REF!</definedName>
    <definedName name="ไม้เนื้อแข็ง">#REF!</definedName>
    <definedName name="ไม้แบบ" localSheetId="0">[1]ราคาวัสดุที่แหล่ง!$F$44</definedName>
    <definedName name="ไม้แบบ">#REF!</definedName>
    <definedName name="ไม้มะค่า">#REF!</definedName>
    <definedName name="ไม้ยาง1x6">#REF!</definedName>
    <definedName name="ไม้สัก">#REF!</definedName>
    <definedName name="ไม้อัดยาง10มม.">#REF!</definedName>
    <definedName name="ไม้อัดยาง4มม.">#REF!</definedName>
    <definedName name="ไม้อัดยาง6มม.">#REF!</definedName>
    <definedName name="ไม้อัดสัก10มม.">#REF!</definedName>
    <definedName name="ไม้อัดสัก4มม.">#REF!</definedName>
    <definedName name="ไม้อัดสัก6มม.">#REF!</definedName>
    <definedName name="ยิบซั่ม12มม.">#REF!</definedName>
    <definedName name="ยิบซั่ม9มม.">#REF!</definedName>
    <definedName name="ราคาน้ำมัน">#REF!</definedName>
    <definedName name="ลวดผูกเหล็ก" localSheetId="0">[1]ราคาวัสดุที่แหล่ง!$F$32</definedName>
    <definedName name="ลวดผูกเหล็ก">#REF!</definedName>
    <definedName name="สีฝุ่น">#REF!</definedName>
    <definedName name="เส้นPVCแบ่งแนว">#REF!</definedName>
    <definedName name="หินเกล็ด">#REF!</definedName>
    <definedName name="หินแกรนิต">#REF!</definedName>
    <definedName name="หินผสมคอนกรีต">#REF!</definedName>
    <definedName name="หินอ่อน">#REF!</definedName>
    <definedName name="เหล็กกลม12มม.">#REF!</definedName>
    <definedName name="เหล็กกลม15มม.">#REF!</definedName>
    <definedName name="เหล็กกลม19มม." localSheetId="0">[1]ราคาวัสดุที่แหล่ง!$F$26</definedName>
    <definedName name="เหล็กกลม19มม.">#REF!</definedName>
    <definedName name="เหล็กกลม25มม.">#REF!</definedName>
    <definedName name="เหล็กกลม6มม.">#REF!</definedName>
    <definedName name="เหล็กกลม9มม.">#REF!</definedName>
    <definedName name="เหล็กข้ออ้อย12มม.">#REF!</definedName>
    <definedName name="เหล็กข้ออ้อย16มม.">#REF!</definedName>
    <definedName name="เหล็กข้ออ้อย25มม.">#REF!</definedName>
    <definedName name="เหล็กข้ออ้อย28มม.">#REF!</definedName>
    <definedName name="อิฐ2รู">#REF!</definedName>
    <definedName name="อิฐบล็อก">#REF!</definedName>
    <definedName name="อิฐบล็อก7มม.">#REF!</definedName>
    <definedName name="อิฐบล๊อก9มม">#REF!</definedName>
    <definedName name="อิฐบล๊อกกันฝน">#REF!</definedName>
    <definedName name="อิฐบ๊อก9มม">#REF!</definedName>
    <definedName name="อิฐมอ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E95" i="1"/>
  <c r="K82" i="1"/>
  <c r="K80" i="1"/>
  <c r="E77" i="1" l="1"/>
  <c r="E71" i="1"/>
  <c r="G71" i="1"/>
  <c r="E68" i="1"/>
  <c r="F69" i="1"/>
  <c r="E64" i="1"/>
  <c r="C77" i="1" l="1"/>
  <c r="K77" i="1"/>
  <c r="K78" i="1" s="1"/>
  <c r="K76" i="1"/>
  <c r="H99" i="1" l="1"/>
  <c r="F99" i="1"/>
  <c r="H98" i="1"/>
  <c r="F98" i="1"/>
  <c r="H95" i="1"/>
  <c r="F95" i="1"/>
  <c r="H91" i="1"/>
  <c r="I91" i="1" s="1"/>
  <c r="H90" i="1"/>
  <c r="F90" i="1"/>
  <c r="H89" i="1"/>
  <c r="F89" i="1"/>
  <c r="H88" i="1"/>
  <c r="F88" i="1"/>
  <c r="H87" i="1"/>
  <c r="F87" i="1"/>
  <c r="H86" i="1"/>
  <c r="I86" i="1" s="1"/>
  <c r="F86" i="1"/>
  <c r="H85" i="1"/>
  <c r="F85" i="1"/>
  <c r="H84" i="1"/>
  <c r="I84" i="1" s="1"/>
  <c r="H79" i="1"/>
  <c r="F79" i="1"/>
  <c r="H78" i="1"/>
  <c r="F78" i="1"/>
  <c r="H77" i="1"/>
  <c r="F77" i="1"/>
  <c r="H72" i="1"/>
  <c r="F72" i="1"/>
  <c r="H71" i="1"/>
  <c r="F71" i="1"/>
  <c r="H70" i="1"/>
  <c r="F70" i="1"/>
  <c r="H68" i="1"/>
  <c r="F68" i="1"/>
  <c r="H67" i="1"/>
  <c r="F67" i="1"/>
  <c r="H66" i="1"/>
  <c r="F66" i="1"/>
  <c r="H65" i="1"/>
  <c r="F65" i="1"/>
  <c r="H64" i="1"/>
  <c r="F64" i="1"/>
  <c r="C59" i="1"/>
  <c r="H59" i="1" s="1"/>
  <c r="H58" i="1"/>
  <c r="F58" i="1"/>
  <c r="C57" i="1"/>
  <c r="F57" i="1" s="1"/>
  <c r="C55" i="1"/>
  <c r="F55" i="1" s="1"/>
  <c r="H54" i="1"/>
  <c r="F54" i="1"/>
  <c r="H52" i="1"/>
  <c r="F52" i="1"/>
  <c r="H51" i="1"/>
  <c r="F51" i="1"/>
  <c r="C46" i="1"/>
  <c r="F46" i="1" s="1"/>
  <c r="H45" i="1"/>
  <c r="F45" i="1"/>
  <c r="H44" i="1"/>
  <c r="C25" i="1"/>
  <c r="H25" i="1" s="1"/>
  <c r="C42" i="1"/>
  <c r="F42" i="1" s="1"/>
  <c r="H41" i="1"/>
  <c r="F41" i="1"/>
  <c r="H40" i="1"/>
  <c r="F40" i="1"/>
  <c r="I40" i="1" s="1"/>
  <c r="H39" i="1"/>
  <c r="F39" i="1"/>
  <c r="I39" i="1" s="1"/>
  <c r="H37" i="1"/>
  <c r="F37" i="1"/>
  <c r="H36" i="1"/>
  <c r="F36" i="1"/>
  <c r="H35" i="1"/>
  <c r="F35" i="1"/>
  <c r="H34" i="1"/>
  <c r="F34" i="1"/>
  <c r="C29" i="1"/>
  <c r="H29" i="1" s="1"/>
  <c r="H28" i="1"/>
  <c r="F28" i="1"/>
  <c r="C27" i="1"/>
  <c r="F27" i="1" s="1"/>
  <c r="H22" i="1"/>
  <c r="F22" i="1"/>
  <c r="H24" i="1"/>
  <c r="F24" i="1"/>
  <c r="I24" i="1" s="1"/>
  <c r="H23" i="1"/>
  <c r="F23" i="1"/>
  <c r="H13" i="1"/>
  <c r="F13" i="1"/>
  <c r="F12" i="1"/>
  <c r="H8" i="1"/>
  <c r="I8" i="1" s="1"/>
  <c r="I89" i="1" l="1"/>
  <c r="I85" i="1"/>
  <c r="I41" i="1"/>
  <c r="I95" i="1"/>
  <c r="I67" i="1"/>
  <c r="I65" i="1"/>
  <c r="I66" i="1"/>
  <c r="I52" i="1"/>
  <c r="I34" i="1"/>
  <c r="I68" i="1"/>
  <c r="I45" i="1"/>
  <c r="I90" i="1"/>
  <c r="F59" i="1"/>
  <c r="I59" i="1" s="1"/>
  <c r="I51" i="1"/>
  <c r="I64" i="1"/>
  <c r="I71" i="1"/>
  <c r="F29" i="1"/>
  <c r="I29" i="1" s="1"/>
  <c r="I72" i="1"/>
  <c r="I87" i="1"/>
  <c r="I77" i="1"/>
  <c r="H27" i="1"/>
  <c r="I27" i="1" s="1"/>
  <c r="I22" i="1"/>
  <c r="I28" i="1"/>
  <c r="I37" i="1"/>
  <c r="I58" i="1"/>
  <c r="I23" i="1"/>
  <c r="I78" i="1"/>
  <c r="I98" i="1"/>
  <c r="I70" i="1"/>
  <c r="I79" i="1"/>
  <c r="I88" i="1"/>
  <c r="I35" i="1"/>
  <c r="H42" i="1"/>
  <c r="I42" i="1" s="1"/>
  <c r="I99" i="1"/>
  <c r="I36" i="1"/>
  <c r="I54" i="1"/>
  <c r="H55" i="1"/>
  <c r="I55" i="1" s="1"/>
  <c r="H57" i="1"/>
  <c r="I57" i="1" s="1"/>
  <c r="F44" i="1"/>
  <c r="I44" i="1" s="1"/>
  <c r="H46" i="1"/>
  <c r="I46" i="1" s="1"/>
  <c r="F25" i="1"/>
  <c r="I25" i="1" s="1"/>
  <c r="I13" i="1"/>
  <c r="F18" i="1"/>
  <c r="H18" i="1"/>
  <c r="M39" i="1"/>
  <c r="N39" i="1"/>
  <c r="M38" i="1"/>
  <c r="N38" i="1"/>
  <c r="M37" i="1"/>
  <c r="N37" i="1" s="1"/>
  <c r="H20" i="1"/>
  <c r="F20" i="1"/>
  <c r="H19" i="1"/>
  <c r="F19" i="1"/>
  <c r="H17" i="1"/>
  <c r="F17" i="1"/>
  <c r="H12" i="1"/>
  <c r="I12" i="1" s="1"/>
  <c r="H11" i="1"/>
  <c r="I11" i="1" s="1"/>
  <c r="H10" i="1"/>
  <c r="I10" i="1" s="1"/>
  <c r="H9" i="1"/>
  <c r="I9" i="1" s="1"/>
  <c r="G153" i="22"/>
  <c r="G69" i="1" l="1"/>
  <c r="H69" i="1" s="1"/>
  <c r="I69" i="1" s="1"/>
  <c r="I93" i="1"/>
  <c r="I14" i="1"/>
  <c r="I74" i="1"/>
  <c r="I75" i="1" s="1"/>
  <c r="I60" i="1"/>
  <c r="I61" i="1" s="1"/>
  <c r="I82" i="1"/>
  <c r="I100" i="1"/>
  <c r="I48" i="1"/>
  <c r="I49" i="1" s="1"/>
  <c r="I20" i="1"/>
  <c r="I19" i="1"/>
  <c r="I18" i="1"/>
  <c r="I17" i="1"/>
  <c r="I31" i="1" l="1"/>
  <c r="I32" i="1" s="1"/>
  <c r="I101" i="1"/>
  <c r="C18" i="22" l="1"/>
  <c r="D10" i="34" s="1"/>
  <c r="D11" i="34" l="1"/>
  <c r="D14" i="34" s="1"/>
  <c r="D9" i="34"/>
  <c r="D13" i="34" s="1"/>
  <c r="D15" i="34" l="1"/>
  <c r="D18" i="22" l="1"/>
  <c r="E18" i="22" s="1"/>
  <c r="E25" i="22" s="1"/>
  <c r="E26" i="22" s="1"/>
  <c r="C27" i="22" l="1"/>
  <c r="H21" i="22"/>
</calcChain>
</file>

<file path=xl/sharedStrings.xml><?xml version="1.0" encoding="utf-8"?>
<sst xmlns="http://schemas.openxmlformats.org/spreadsheetml/2006/main" count="299" uniqueCount="193">
  <si>
    <t>ลำดับที่</t>
  </si>
  <si>
    <t>รายการ</t>
  </si>
  <si>
    <t>จำนวน</t>
  </si>
  <si>
    <t>หน่วย</t>
  </si>
  <si>
    <t>ค่าแรงงาน</t>
  </si>
  <si>
    <t>หมายเหตุ</t>
  </si>
  <si>
    <t>จำนวนเงิน</t>
  </si>
  <si>
    <t>กก.</t>
  </si>
  <si>
    <t>ตร.ม.</t>
  </si>
  <si>
    <t>แบบ ปร. 5</t>
  </si>
  <si>
    <t>Factor F</t>
  </si>
  <si>
    <t>และค่าแรงงาน</t>
  </si>
  <si>
    <t>ราคาวัสดุ</t>
  </si>
  <si>
    <t>ราคาหน่วยละ</t>
  </si>
  <si>
    <t>รวมค่าวัสดุ</t>
  </si>
  <si>
    <t>ค่าวัสดุและค่าแรงงาน</t>
  </si>
  <si>
    <t>รวมเป็นเงิน (บาท)</t>
  </si>
  <si>
    <t>เงื่อนไข Factor F</t>
  </si>
  <si>
    <t>สรุป</t>
  </si>
  <si>
    <t>รวมค่าก่อสร้างเป็นเงินทั้งสิ้น</t>
  </si>
  <si>
    <t xml:space="preserve">คิดเป็นเงินประมาณ                                                         </t>
  </si>
  <si>
    <t xml:space="preserve">ตัวอักษร  </t>
  </si>
  <si>
    <t>ชุด</t>
  </si>
  <si>
    <t>จุด</t>
  </si>
  <si>
    <t xml:space="preserve">      - แผ่นพื้นสำเร็จรูปท้องเรียบ รับน้ำหนักบรรทุกจรปลอดภัย</t>
  </si>
  <si>
    <t xml:space="preserve">      - ครอบโค้งปิดจั่ว</t>
  </si>
  <si>
    <t>ม.</t>
  </si>
  <si>
    <t>เงินประกันผลงานหัก…0…%</t>
  </si>
  <si>
    <t>เหมา</t>
  </si>
  <si>
    <t>ประเภทงานอาคาร</t>
  </si>
  <si>
    <t>จำนวนเงิน (บาท)</t>
  </si>
  <si>
    <t>รวมค่าก่อสร้าง</t>
  </si>
  <si>
    <t>ประเภทงานก่อสร้าง</t>
  </si>
  <si>
    <t>เจ้าของอาคาร</t>
  </si>
  <si>
    <t>สถานที่ก่อสร้าง</t>
  </si>
  <si>
    <t xml:space="preserve">แบบเลขที่ </t>
  </si>
  <si>
    <t>ค่า Factor F  ของงานก่อสร้างอาคาร</t>
  </si>
  <si>
    <t>ตาราง Factor F  ของงานก่อสร้างอาคาร</t>
  </si>
  <si>
    <t>การคำนวณหาค่า Factor-F</t>
  </si>
  <si>
    <t>เงินล่วงหน้าจ่าย</t>
  </si>
  <si>
    <t>เงินประกันผลงานหัก</t>
  </si>
  <si>
    <t>ดอกเบี้ยเงินกู้</t>
  </si>
  <si>
    <t>ค่าภาษีมูลค่าเพิ่ม</t>
  </si>
  <si>
    <t>D - ((D-E)*(A-B)/(C-B))</t>
  </si>
  <si>
    <t>ค่างานต้นทุน</t>
  </si>
  <si>
    <t>B</t>
  </si>
  <si>
    <t>B : ค่างานต้นทุนต่ำ</t>
  </si>
  <si>
    <t>(บาท)</t>
  </si>
  <si>
    <t>A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</si>
  <si>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</si>
  <si>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</si>
  <si>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</si>
  <si>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</si>
  <si>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</si>
  <si>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</si>
  <si>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Factor F =</t>
  </si>
  <si>
    <t>นำค่านี้ไปใช้ในการคำนวณ</t>
  </si>
  <si>
    <t>........…………………................………...........................</t>
  </si>
  <si>
    <t>สรุปผลการกำหนดราคากลางงานก่อสร้าง</t>
  </si>
  <si>
    <t xml:space="preserve">□ </t>
  </si>
  <si>
    <t xml:space="preserve"> FACTOR. F ประเภทอาคาร  เงื่อนไข - เงินล่วงหน้าจ่าย 0%, เงินประกันผลงานหัก 0% , ดอกเบี้ยเงินกู้ 7% , ค่าภาษีมูลค่าเพิ่ม 7%</t>
  </si>
  <si>
    <t>หลักเกณฑ์การกำหนดราคากลางงานก่อสร้าง ประกาศคณะกรรมการราคากลางและขึ้นทะเบียนผู้ประกอบการ</t>
  </si>
  <si>
    <t>เรื่อง หลักเกณฑ์และวิธีการกำหนดราคากลางงานก่อสร้าง</t>
  </si>
  <si>
    <t xml:space="preserve">   จำนวน</t>
  </si>
  <si>
    <t xml:space="preserve">ประมาณการตามแบบ   ปร.4  </t>
  </si>
  <si>
    <t>ลงชื่อ</t>
  </si>
  <si>
    <t>ประธานกรรมการ</t>
  </si>
  <si>
    <t>กรรมการ</t>
  </si>
  <si>
    <t xml:space="preserve">หมายเหตุ.- </t>
  </si>
  <si>
    <t>A : ค่างานต้นทุน</t>
  </si>
  <si>
    <t>&gt;500,000,000</t>
  </si>
  <si>
    <t>ภาษีมูลค่าเพิ่ม (VAT)...7...%</t>
  </si>
  <si>
    <t>เงินล่วงหน้าจ่าย...…0...….%</t>
  </si>
  <si>
    <t>ดอกเบี้ยเงินกู้......7..........%</t>
  </si>
  <si>
    <t>https://www.rcmroof.com/product/%E0%B8%84%E0%B8%A3%E0%B8%AD%E0%B8%9A%E0%B8%9B%E0%B8%B4%E0%B8%94%E0%B8%88%E0%B8%B1%E0%B9%88%E0%B8%A7-%E0%B8%A3%E0%B8%B8%E0%B9%88%E0%B8%99%E0%B9%80%E0%B8%9E%E0%B8%A3%E0%B8%AA%E0%B8%97%E0%B8%B5-14/</t>
  </si>
  <si>
    <t xml:space="preserve">      - ครอบสัน</t>
  </si>
  <si>
    <t>สำนักงานปฏิรูปที่ดินจังหวัดขอนแก่น</t>
  </si>
  <si>
    <t xml:space="preserve">           ( นางสาวพรทิวา บุญมีศรี )</t>
  </si>
  <si>
    <t xml:space="preserve">           ( นายปราโมทย์ ขจรพิพัฒน์ )</t>
  </si>
  <si>
    <t xml:space="preserve">                สถาปนิกปฏิบัติการ</t>
  </si>
  <si>
    <t xml:space="preserve">               พนักงานสถาปนิก</t>
  </si>
  <si>
    <t xml:space="preserve">              ( นายวิษณุ ภระมรทัต )</t>
  </si>
  <si>
    <t xml:space="preserve">             นายช่างสำรวจปฏิบัติงาน</t>
  </si>
  <si>
    <t xml:space="preserve">                นิติกรชำนาญการ</t>
  </si>
  <si>
    <t>รื้อกอง</t>
  </si>
  <si>
    <t>รวมราคางานรื้อถอน</t>
  </si>
  <si>
    <t>รวมราคางานไฟฟ้า</t>
  </si>
  <si>
    <t xml:space="preserve">ราคากลางโดย    คณะกรรมการจัดทำรูปแบบรายการงานก่อสร้าง และกำหนดราคากลาง คำสั่ง จังหวัดขอนแก่น  2098/2567 ลงวันที่ 9 พฤษภาคม 2567 </t>
  </si>
  <si>
    <t>สำนักงานปฏิรูปที่ดินจังหวัดขอนแก่น ถนนประชาสโมสร อำเภอเมือง จังหวัดขอนแก่น</t>
  </si>
  <si>
    <t>สถานที่ก่อสร้าง   สำนักงานปฏิรูปที่ดินจังหวัดขอนแก่น ถนนประชาสโมสร อำเภอเมือง จังหวัดขอนแก่น</t>
  </si>
  <si>
    <t>โครงการก่อสร้าง ปรับปรุงอาคารประชุม สำนักงานปฏิรูปที่ดินจังหวัดขอนแก่น</t>
  </si>
  <si>
    <t>กรรมการและเลขานุการ</t>
  </si>
  <si>
    <t>ราคาปี 66 (บลูสโคปท่าพระขอนแก่น)</t>
  </si>
  <si>
    <t xml:space="preserve">    กำหนดราคาเมื่อวันที่ 30 พฤษภาคม 2567</t>
  </si>
  <si>
    <t>กำหนดราคากลางเมื่อวันที่ 30 พฤษภาคม 2567</t>
  </si>
  <si>
    <t xml:space="preserve"> - งานรื้อถอนโครงสร้างรั้ว</t>
  </si>
  <si>
    <t>ลบ.ม.</t>
  </si>
  <si>
    <t xml:space="preserve"> - งานรื้อถอนผนังก่ออิฐฉาบปูนครึ่งแผ่น</t>
  </si>
  <si>
    <t xml:space="preserve"> - งานรื้อถอนประตูรั้วเดิม</t>
  </si>
  <si>
    <t xml:space="preserve"> - งานระบบประปา ,สุขาภิบาล ที่ติดตั้งบริเวณรั้ว (ต่อพ่วงชั่วคราว,และเดินระบบใหม่)</t>
  </si>
  <si>
    <t>รื้อขนไป</t>
  </si>
  <si>
    <t>งานรื้อถอนรั้วเดิม และงานเตรียมพื้นที่ก่อสร้าง</t>
  </si>
  <si>
    <t>หมวดงานโครงสร้าง (คิดความยาวรั้วช่วงละ 3 ม.)</t>
  </si>
  <si>
    <t>งานรั้วแบบ - A (รั้วโปร่ง ด้านหน้าโครงการ)</t>
  </si>
  <si>
    <t xml:space="preserve"> - งานขุดดินและถมกลับคืนฐานราก</t>
  </si>
  <si>
    <t xml:space="preserve"> - งานทดสอบความหนาแน่นชั้นดิน</t>
  </si>
  <si>
    <t xml:space="preserve">เผื่อ 30% </t>
  </si>
  <si>
    <t xml:space="preserve"> - งานทรายหยาบรองใต้ฐานราก,คาน</t>
  </si>
  <si>
    <t xml:space="preserve">เผื่อ 25% </t>
  </si>
  <si>
    <t xml:space="preserve"> - คอนกรีตหยาบรองใต้ฐานราก</t>
  </si>
  <si>
    <t xml:space="preserve"> - งานคอนกรีตโครงสร้าง 1:2:4</t>
  </si>
  <si>
    <t>เหล็กเสริมคอนกรีต</t>
  </si>
  <si>
    <t xml:space="preserve">       - เหล็กเสริม Ø - RB  9 mm. (SR24)</t>
  </si>
  <si>
    <t xml:space="preserve">       - เหล็กเสริม Ø - DB 12 mm. (SD40)</t>
  </si>
  <si>
    <t xml:space="preserve">       - ลวดผูกเหล็ก</t>
  </si>
  <si>
    <t xml:space="preserve">       - เหล็กเสริม Ø - RB  6 mm. (SR24)</t>
  </si>
  <si>
    <t>ไม้แบบ</t>
  </si>
  <si>
    <t xml:space="preserve"> - ค่าวัสดุ คิด 80%</t>
  </si>
  <si>
    <t xml:space="preserve"> - ค่าแรง คิด 100%</t>
  </si>
  <si>
    <t>ตะปูไม้แบบ</t>
  </si>
  <si>
    <t>รวมราคางานโครงสร้างรั้วแบบ - A (1 ช่อง)</t>
  </si>
  <si>
    <t>รวมราคางานโครงสร้างรั้ว แบบ - A จำนวน 9 ช่อง</t>
  </si>
  <si>
    <t>งานรั้วแบบ - B (รั้วทึบรอบโครงการ)</t>
  </si>
  <si>
    <t>คณะกรรมการจัดทำรูปแบบรายการงานก่อสร้าง และกำหนดราคากลาง งานก่อสร้างรั้วพร้อมประตูรั้วสำนักงาน และรื้อถอนรั้วเดิมสำนักงานปฏิรูปที่ดินจังหวัดขอนแก่น</t>
  </si>
  <si>
    <t>งานก่อสร้างรั้วพร้อมประตูรั้วสำนักงาน และรื้อถอนรั้วเดิมสำนักงานปฏิรูปที่ดินจังหวัดขอนแก่น</t>
  </si>
  <si>
    <t>ราคากลาง          งานก่อสร้างรั้วพร้อมประตูรั้วสำนักงาน และรื้อถอนรั้วเดิมสำนักงานปฏิรูปที่ดินจังหวัดขอนแก่น</t>
  </si>
  <si>
    <t>รวมราคางานโครงสร้างรั้วแบบ -B (1 ช่อง)</t>
  </si>
  <si>
    <t>รวมราคางานโครงสร้างรั้ว แบบ - B จำนวน 103 ช่อง</t>
  </si>
  <si>
    <t>งานโครงสร้างพื้นGS รับประตูเข้า-ออก</t>
  </si>
  <si>
    <t>งานทรายหยาบรองใต้พื้น GS</t>
  </si>
  <si>
    <t>งานคอนกรีตโครงสร้าง 1:2:4</t>
  </si>
  <si>
    <t xml:space="preserve"> - RB  9 มม. (SR-24)</t>
  </si>
  <si>
    <t>ลวดผูกเหล็ก เบอร์ 18</t>
  </si>
  <si>
    <t>รวมราคางานโครงสร้างพื้นGS รับประตูเข้า-ออก (1 จุด)</t>
  </si>
  <si>
    <t>รวมราคางานโครงสร้างพื้นGS รับประตูเข้า-ออก จำนวน 2 จุด</t>
  </si>
  <si>
    <t>งานสถาปัตยกรรมรั้ว (คิดความยาวรั้วช่วงละ 3 ม.)</t>
  </si>
  <si>
    <t>ผนังก่อคอนกรีตมวลเบา ขนาด 20ซม.x60ซม.หนา 7.5ซม.</t>
  </si>
  <si>
    <t>งานฉาบปูนเรียบผนังสองด้าน,คาน,หลังคานบนสุด และเสารั้ว</t>
  </si>
  <si>
    <t>งานติดตั้งเหล็กกล่อง 100x50x2.3 มม.</t>
  </si>
  <si>
    <t>งานติดตั้งเหล็กกล่อง 50x25x2.3 มม.</t>
  </si>
  <si>
    <t>งานติดตั้งแผ่นเหล็ก 5"x5" หนา 4 มม. ยึดด้วยพุกเหล็กเส้นผ่าศูนย์กลาง  5/16" 2 ตัว</t>
  </si>
  <si>
    <t>งานบัวซีเมนต์หัวเสา</t>
  </si>
  <si>
    <t>ทาสีกันสนิมเหล็ก 2 รอบ แล้วทาทับสีน้ำมัน 2 รอบ</t>
  </si>
  <si>
    <t>งานทาสีผนัง ก่ออิฐฉาบปูนเรียบ 2 ด้าน , เสา 4 ด้าน ,บัวหัวเสา</t>
  </si>
  <si>
    <t>อะครีลิค เกรดA 100%  โดยทารองพื้นก่อนจำนวน 1 รอบ แล้วทาจริงด้วยสีอะครีลิค เกรดA 100% ไม่น้อยกว่าจำนวน 2 รอบ</t>
  </si>
  <si>
    <t>รวมงานสถาปัตยกรรมรั้ว แบบ - A (1ช่อง)</t>
  </si>
  <si>
    <t>รวมราคางานสถาปัตยกรรมรั้ว แบบ - A จำนวน 9 ช่อง</t>
  </si>
  <si>
    <t>ผนังก่อคอนกรีตบล๊อค หนา 7 ซม. โชว์แนว</t>
  </si>
  <si>
    <t xml:space="preserve">งานทาสีผนัง ก่ออิฐฉาบปูนเรียบ 2 ด้าน , เสา 4 ด้าน </t>
  </si>
  <si>
    <t>สีอะครีลิค เกรดA 100%  โดยทารองพื้นก่อนจำนวน 1 รอบ แล้ว</t>
  </si>
  <si>
    <t>ทาจริงด้วยสีอะครีลิค เกรดA 100% ไม่น้อยกว่าจำนวน 2 รอบ</t>
  </si>
  <si>
    <t>รวมงานสถาปัตยกรรมรั้ว แบบ - B (1ช่อง)</t>
  </si>
  <si>
    <t>งานประตูเข้า-ออก</t>
  </si>
  <si>
    <t>ติดตั้งประตูทางเข้า ขนาดยาว 5.60 ม.สูง 1.85 ม.จำนวน 1 บาน รูปทรงตามแบบ</t>
  </si>
  <si>
    <t>L.S</t>
  </si>
  <si>
    <t xml:space="preserve"> - อลูมิเนียมลายไม้ 3D ALU-WOOD หน้ากว้าง 4" ลึก3/4" หนา 1 มม.(เลือกสีภายหลัง)</t>
  </si>
  <si>
    <t xml:space="preserve"> - เหล็กกล่อง 6 หุน (3/4") หนา 1.8 มม.  </t>
  </si>
  <si>
    <t xml:space="preserve"> - ลูกล้อ STAINLESS STEEL ชนิดมีลูกปืน เส้นผ่า ศก.4"(คู่)</t>
  </si>
  <si>
    <t xml:space="preserve"> - เพลา Stainless Steel เส้นผ่าศูนย์กลาง 12 มม.ติดตั้งตามแบบ</t>
  </si>
  <si>
    <t xml:space="preserve"> - อุปกรณ์ประตูครบชุด และชุดเหล็กกันประตูล้ม ล้อประคองประตู ตามแบบ  </t>
  </si>
  <si>
    <t xml:space="preserve"> - งานทำสีเหล็กประตู</t>
  </si>
  <si>
    <t xml:space="preserve"> - ตราโลโก้ ส.ป.ก.แผ่นสแตนเลสหนา 4 มม.เกรด304  ฉลุลายตรา ส.ป.ก. </t>
  </si>
  <si>
    <t xml:space="preserve">   โลโก้ ส.ป.ก. เส้นผ่าศูนย์กลาง 60 ซม.ติด2ด้าน (ด้านนอก-ด้านในประตู) </t>
  </si>
  <si>
    <t>รวมราคางานประตูรั้ว (ด้านหน้า-ด้านหลังโครงการ)</t>
  </si>
  <si>
    <t>งานไฟฟ้า</t>
  </si>
  <si>
    <t xml:space="preserve">โคมไฟหัวเสา ทรงกลม พลาสติก กว้าง 25 ซม. สูง 33.6 ซม ลึก 25 ซม. </t>
  </si>
  <si>
    <t>พร้อมขาแขวน อุปกรณ์ครบชุด รวมท่อร้อยสายโลหะ,สายไฟ,อุปกรณ์ และสวิทซ์</t>
  </si>
  <si>
    <t>สายไฟฟ้าและท่อร้อยสายไฟ เชื่อมต่อจากระบบไฟฟ้าแสงสว่างป้ายสำนักงานเดิม</t>
  </si>
  <si>
    <t>สายไฟฟ้า THW 1x1.5 Sq.mm</t>
  </si>
  <si>
    <t>ท่อร้อยสายไฟ PVC ขนาด 3/4"</t>
  </si>
  <si>
    <t xml:space="preserve">             ( นายทองศูนย์ ฉ่ำมณี )</t>
  </si>
  <si>
    <t xml:space="preserve">            ( นางสุพรรณี ธรรมวิสุทธิ์) </t>
  </si>
  <si>
    <t xml:space="preserve">       นักวิชาการปฏิรูปที่ดินชำนาญการ</t>
  </si>
  <si>
    <t>คณะกรรมการจัดทำรูปแบบรายการงานก่อสร้าง และกำหนดราคากลาง ตามคำสั่ง จังหวัดขอนแก่น ที่ 2099/2567</t>
  </si>
  <si>
    <t>ราคากลางโดย  คณะกรรมการกำหนดราคากลาง ตามคำสั่ง จังหวัดขอนแก่น  ที่ 2099/2567 ลงวันที่ 9 พฤษภาคม 2567</t>
  </si>
  <si>
    <t>3001610-010-65</t>
  </si>
  <si>
    <t>10 แผ่น</t>
  </si>
  <si>
    <t xml:space="preserve"> - งานก่อสร้างรั้วชั่วคราว (รื้อออกติดตั้งใหม่ตามช่วงรั้วที่ก่อสร้าง)</t>
  </si>
  <si>
    <t>คำสั่ง จังหวัดขอนแก่น ที่  2099/2567 ลงวันที่ 9 พฤษภาคม 2567</t>
  </si>
  <si>
    <t>ค่าแรง *กรมบัญชีกลาง 3มี.ค.66</t>
  </si>
  <si>
    <t>ค่าแรง *กรมบัญชีกลาง 3มี.ค.67</t>
  </si>
  <si>
    <t>วัสดุ *ขอนแก่น เม.ย.67</t>
  </si>
  <si>
    <t>https://www.thaiwatsadu.com/th/product/%E0%B9%80%E0%B8%AB%E0%B8%A5%E0%B9%87%E0%B8%81%E0%B9%81%E0%B8%9B%E0%B9%8A%E0%B8%9A%E0%B9%81%E0%B8%9A%E0%B8%99-%E0%B9%82%E0%B8%A3%E0%B8%87%E0%B9%83%E0%B8%AB%E0%B8%8D%E0%B9%88-%E0%B8%82%E0%B8%99%E0%B8%B2%E0%B8%94-3-x-1-1%7C2-%E0%B8%99%E0%B8%B4%E0%B9%89%E0%B8%A7-%E0%B8%AB%E0%B8%99%E0%B8%B2-25-%E0%B8%A1%E0%B8%A1-%E0%B8%9E%E0%B9%88%E0%B8%99%E0%B8%9B%E0%B8%A5%E0%B8%B2%E0%B8%A2%E0%B8%AA%E0%B8%B5%E0%B8%A1%E0%B9%88%E0%B8%A7%E0%B8%87-60143027?gad_source=1&amp;gclid=EAIaIQobChMIntuWtLC0hgMV0almAh0FsQ83EAYYASABEgLE-vD_BwE</t>
  </si>
  <si>
    <t>https://www.thaiwatsadu.com/th/product/%E0%B8%AD%E0%B8%B4%E0%B8%90%E0%B8%A1%E0%B8%A7%E0%B8%A5%E0%B9%80%E0%B8%9A%E0%B8%B2-TPI-%E0%B8%82%E0%B8%99%E0%B8%B2%E0%B8%94-20-x-60-x-75-%E0%B8%8B%E0%B8%A1-60251181?gad_source=1&amp;gclid=EAIaIQobChMIyZGkkrG0hgMVFZlQBh3OkA_xEAQYASABEgJO-_D_BwE</t>
  </si>
  <si>
    <t>ค่าแรงประกอบงานเหล็ก</t>
  </si>
  <si>
    <t>งาน</t>
  </si>
  <si>
    <t>https://www.thaiwatsadu.com/th/product/%E0%B9%80%E0%B8%AB%E0%B8%A5%E0%B9%87%E0%B8%81%E0%B9%80%E0%B8%9E%E0%B8%A5%E0%B8%97%E0%B8%AA%E0%B8%B5%E0%B9%88%E0%B9%80%E0%B8%AB%E0%B8%A5%E0%B8%B5%E0%B9%88%E0%B8%A2%E0%B8%A1%E0%B8%AB%E0%B8%99%E0%B8%B2-6-%E0%B8%A1%E0%B8%A1-%E0%B9%80%E0%B8%88%E0%B8%B2%E0%B8%B0%E0%B8%A3%E0%B8%B9-3%7C8-%E0%B8%99%E0%B8%B4%E0%B9%89%E0%B8%A7-SC-%E0%B8%82%E0%B8%99%E0%B8%B2%E0%B8%94-5-x-5-%E0%B8%99%E0%B8%B4%E0%B9%89%E0%B8%A7-60291228</t>
  </si>
  <si>
    <t>https://www.thaiwatsadu.com/th/product/%E0%B8%AA%E0%B8%B2%E0%B8%A2%E0%B9%84%E0%B8%9F-YAZAKI-%E0%B8%A3%E0%B8%B8%E0%B9%88%E0%B8%99-60227-IEC01THW1x15-60124006</t>
  </si>
  <si>
    <t>https://www.homepro.co.th/p/151407</t>
  </si>
  <si>
    <t>4 แผ่น</t>
  </si>
  <si>
    <t>งานรั้วแบบ - B (รั้วทึบรอบโครงการ คิดรวม 103 ช่อง) ไม่คิดงานฉาบและทาสีฝั่งตะวันตก 1 ด้าน</t>
  </si>
  <si>
    <t>งานก่อสร้างรั้วพร้อมประตูรั้วสำนักงาน และรื้อถอนรั้วเดิม  ส.ป.ก.ขอนแก่น</t>
  </si>
  <si>
    <t>รวมราคางานก่อสร้างรั้วพร้อมประตูรั้วสำนักงาน และรื้อถอนรั้วเดิม  ส.ป.ก.ขอนแก่น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</si>
</sst>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_-* #,##0.0000_-;\-* #,##0.0000_-;_-* &quot;-&quot;??_-;_-@_-"/>
    <numFmt numFmtId="188" formatCode="_-* #,##0_-;\-* #,##0_-;_-* &quot;-&quot;??_-;_-@_-"/>
    <numFmt numFmtId="189" formatCode="&quot;จำนวน&quot;\ \ d\ \ &quot;แผ่น&quot;"/>
    <numFmt numFmtId="190" formatCode="0.0000"/>
    <numFmt numFmtId="191" formatCode="_-* #,##0.00000_-;\-* #,##0.00000_-;_-* &quot;-&quot;??_-;_-@_-"/>
    <numFmt numFmtId="192" formatCode="_(* #,##0.00_);_(* \(#,##0.00\);_(* &quot;-&quot;??_);_(@_)"/>
  </numFmts>
  <fonts count="36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SV Rojchana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AngsanaUPC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8"/>
      <name val="TH SarabunPSK"/>
      <family val="2"/>
    </font>
    <font>
      <u/>
      <sz val="14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20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i/>
      <sz val="16"/>
      <name val="TH SarabunPSK"/>
      <family val="2"/>
    </font>
    <font>
      <b/>
      <i/>
      <sz val="16"/>
      <name val="TH SarabunPSK"/>
      <family val="2"/>
    </font>
    <font>
      <b/>
      <i/>
      <sz val="20"/>
      <name val="TH SarabunPSK"/>
      <family val="2"/>
    </font>
    <font>
      <b/>
      <u/>
      <sz val="14"/>
      <name val="TH SarabunPSK"/>
      <family val="2"/>
      <charset val="22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u/>
      <sz val="10"/>
      <color theme="10"/>
      <name val="Arial"/>
      <family val="2"/>
    </font>
    <font>
      <sz val="10"/>
      <name val="Arial"/>
      <family val="2"/>
      <charset val="222"/>
    </font>
    <font>
      <sz val="14"/>
      <color theme="1"/>
      <name val="TH Sarabun New"/>
      <family val="2"/>
    </font>
    <font>
      <sz val="11"/>
      <name val="TH SarabunPSK"/>
      <family val="2"/>
    </font>
    <font>
      <sz val="13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0">
      <alignment vertical="center"/>
    </xf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31" fillId="0" borderId="0" applyNumberFormat="0" applyFill="0" applyBorder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339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7" fillId="0" borderId="0" xfId="8" applyFont="1"/>
    <xf numFmtId="43" fontId="7" fillId="0" borderId="5" xfId="9" applyFont="1" applyBorder="1"/>
    <xf numFmtId="187" fontId="7" fillId="0" borderId="5" xfId="9" applyNumberFormat="1" applyFont="1" applyBorder="1" applyAlignment="1">
      <alignment horizontal="right"/>
    </xf>
    <xf numFmtId="43" fontId="7" fillId="0" borderId="4" xfId="9" applyFont="1" applyBorder="1"/>
    <xf numFmtId="187" fontId="7" fillId="0" borderId="4" xfId="9" applyNumberFormat="1" applyFont="1" applyBorder="1" applyAlignment="1">
      <alignment horizontal="right"/>
    </xf>
    <xf numFmtId="0" fontId="7" fillId="0" borderId="1" xfId="8" applyFont="1" applyBorder="1"/>
    <xf numFmtId="0" fontId="7" fillId="0" borderId="6" xfId="8" applyFont="1" applyBorder="1" applyAlignment="1">
      <alignment horizontal="center"/>
    </xf>
    <xf numFmtId="43" fontId="7" fillId="0" borderId="6" xfId="8" applyNumberFormat="1" applyFont="1" applyBorder="1"/>
    <xf numFmtId="10" fontId="7" fillId="0" borderId="6" xfId="9" applyNumberFormat="1" applyFont="1" applyBorder="1" applyAlignment="1">
      <alignment horizontal="right"/>
    </xf>
    <xf numFmtId="0" fontId="7" fillId="0" borderId="6" xfId="8" applyFont="1" applyBorder="1"/>
    <xf numFmtId="0" fontId="7" fillId="0" borderId="14" xfId="8" applyFont="1" applyBorder="1" applyAlignment="1"/>
    <xf numFmtId="0" fontId="7" fillId="0" borderId="10" xfId="8" applyFont="1" applyBorder="1" applyAlignment="1"/>
    <xf numFmtId="0" fontId="7" fillId="0" borderId="11" xfId="8" applyFont="1" applyBorder="1" applyAlignment="1"/>
    <xf numFmtId="43" fontId="7" fillId="0" borderId="1" xfId="8" applyNumberFormat="1" applyFont="1" applyBorder="1"/>
    <xf numFmtId="0" fontId="7" fillId="0" borderId="11" xfId="8" applyFont="1" applyBorder="1" applyAlignment="1">
      <alignment horizontal="right"/>
    </xf>
    <xf numFmtId="0" fontId="7" fillId="0" borderId="9" xfId="8" applyFont="1" applyBorder="1"/>
    <xf numFmtId="0" fontId="7" fillId="0" borderId="0" xfId="8" applyFont="1" applyAlignment="1"/>
    <xf numFmtId="0" fontId="4" fillId="0" borderId="0" xfId="0" applyFont="1"/>
    <xf numFmtId="0" fontId="11" fillId="0" borderId="4" xfId="0" applyFont="1" applyFill="1" applyBorder="1" applyAlignment="1">
      <alignment horizontal="center"/>
    </xf>
    <xf numFmtId="43" fontId="11" fillId="0" borderId="4" xfId="0" applyNumberFormat="1" applyFont="1" applyFill="1" applyBorder="1"/>
    <xf numFmtId="43" fontId="13" fillId="0" borderId="2" xfId="0" applyNumberFormat="1" applyFont="1" applyFill="1" applyBorder="1" applyAlignment="1">
      <alignment horizontal="center" vertical="center"/>
    </xf>
    <xf numFmtId="43" fontId="13" fillId="0" borderId="3" xfId="0" applyNumberFormat="1" applyFont="1" applyFill="1" applyBorder="1" applyAlignment="1">
      <alignment horizontal="center" vertical="center"/>
    </xf>
    <xf numFmtId="43" fontId="11" fillId="0" borderId="4" xfId="3" applyFont="1" applyBorder="1"/>
    <xf numFmtId="0" fontId="11" fillId="0" borderId="4" xfId="0" applyFont="1" applyBorder="1"/>
    <xf numFmtId="0" fontId="15" fillId="0" borderId="13" xfId="8" applyFont="1" applyBorder="1" applyAlignment="1">
      <alignment horizontal="center"/>
    </xf>
    <xf numFmtId="0" fontId="15" fillId="0" borderId="9" xfId="8" applyFont="1" applyBorder="1" applyAlignment="1">
      <alignment horizont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7" fillId="0" borderId="4" xfId="8" applyFont="1" applyBorder="1" applyAlignment="1">
      <alignment horizontal="left"/>
    </xf>
    <xf numFmtId="0" fontId="17" fillId="0" borderId="5" xfId="8" applyFont="1" applyBorder="1"/>
    <xf numFmtId="0" fontId="19" fillId="0" borderId="4" xfId="8" applyFont="1" applyBorder="1"/>
    <xf numFmtId="0" fontId="17" fillId="0" borderId="4" xfId="8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0" fillId="0" borderId="0" xfId="0" applyFont="1" applyFill="1"/>
    <xf numFmtId="0" fontId="4" fillId="0" borderId="0" xfId="5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43" fontId="5" fillId="0" borderId="5" xfId="5" applyFont="1" applyBorder="1"/>
    <xf numFmtId="189" fontId="4" fillId="0" borderId="0" xfId="0" applyNumberFormat="1" applyFont="1" applyAlignment="1">
      <alignment horizontal="right"/>
    </xf>
    <xf numFmtId="0" fontId="11" fillId="0" borderId="0" xfId="14" applyFont="1" applyBorder="1" applyAlignment="1" applyProtection="1">
      <alignment vertical="top"/>
      <protection hidden="1"/>
    </xf>
    <xf numFmtId="0" fontId="11" fillId="0" borderId="0" xfId="15" applyFont="1" applyAlignment="1">
      <alignment vertical="top"/>
    </xf>
    <xf numFmtId="0" fontId="11" fillId="0" borderId="0" xfId="14" applyFont="1" applyAlignment="1" applyProtection="1">
      <alignment vertical="center"/>
      <protection hidden="1"/>
    </xf>
    <xf numFmtId="0" fontId="4" fillId="0" borderId="0" xfId="15" applyFont="1" applyAlignment="1">
      <alignment vertical="top"/>
    </xf>
    <xf numFmtId="0" fontId="4" fillId="0" borderId="0" xfId="14" applyFont="1" applyBorder="1" applyAlignment="1" applyProtection="1">
      <alignment vertical="top"/>
      <protection hidden="1"/>
    </xf>
    <xf numFmtId="0" fontId="4" fillId="0" borderId="0" xfId="14" applyFont="1" applyAlignment="1" applyProtection="1">
      <alignment vertical="center"/>
      <protection hidden="1"/>
    </xf>
    <xf numFmtId="43" fontId="13" fillId="0" borderId="0" xfId="26" applyFont="1" applyFill="1"/>
    <xf numFmtId="43" fontId="5" fillId="0" borderId="0" xfId="26" applyFont="1" applyFill="1" applyBorder="1"/>
    <xf numFmtId="43" fontId="13" fillId="0" borderId="19" xfId="26" applyFont="1" applyFill="1" applyBorder="1"/>
    <xf numFmtId="43" fontId="11" fillId="0" borderId="20" xfId="26" applyFont="1" applyFill="1" applyBorder="1"/>
    <xf numFmtId="191" fontId="13" fillId="0" borderId="0" xfId="26" applyNumberFormat="1" applyFont="1" applyFill="1"/>
    <xf numFmtId="43" fontId="24" fillId="0" borderId="0" xfId="26" applyFont="1" applyFill="1"/>
    <xf numFmtId="43" fontId="24" fillId="0" borderId="0" xfId="26" applyFont="1" applyFill="1" applyAlignment="1">
      <alignment horizontal="right"/>
    </xf>
    <xf numFmtId="188" fontId="23" fillId="0" borderId="0" xfId="26" applyNumberFormat="1" applyFont="1" applyFill="1" applyBorder="1"/>
    <xf numFmtId="191" fontId="24" fillId="0" borderId="0" xfId="26" applyNumberFormat="1" applyFont="1" applyFill="1"/>
    <xf numFmtId="0" fontId="13" fillId="0" borderId="1" xfId="0" applyFont="1" applyFill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0" fontId="7" fillId="0" borderId="0" xfId="8" applyFont="1" applyBorder="1" applyAlignment="1"/>
    <xf numFmtId="43" fontId="13" fillId="0" borderId="1" xfId="0" applyNumberFormat="1" applyFont="1" applyFill="1" applyBorder="1" applyAlignment="1">
      <alignment horizontal="center" vertical="center"/>
    </xf>
    <xf numFmtId="0" fontId="11" fillId="0" borderId="0" xfId="14" applyFont="1" applyBorder="1" applyAlignment="1" applyProtection="1">
      <protection hidden="1"/>
    </xf>
    <xf numFmtId="0" fontId="20" fillId="0" borderId="0" xfId="6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3" fontId="11" fillId="0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3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4" fillId="0" borderId="0" xfId="14" applyFont="1" applyAlignment="1" applyProtection="1">
      <alignment horizontal="left" vertical="center"/>
      <protection hidden="1"/>
    </xf>
    <xf numFmtId="0" fontId="11" fillId="0" borderId="0" xfId="14" applyFont="1" applyBorder="1" applyAlignment="1" applyProtection="1">
      <alignment horizontal="left" vertical="top"/>
      <protection hidden="1"/>
    </xf>
    <xf numFmtId="0" fontId="4" fillId="0" borderId="0" xfId="15" applyFont="1" applyAlignment="1">
      <alignment vertical="center"/>
    </xf>
    <xf numFmtId="0" fontId="4" fillId="0" borderId="0" xfId="14" applyFont="1" applyAlignment="1" applyProtection="1">
      <alignment horizontal="left" vertical="center"/>
      <protection hidden="1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24" xfId="0" applyFont="1" applyBorder="1" applyAlignment="1">
      <alignment horizontal="right" vertical="center"/>
    </xf>
    <xf numFmtId="0" fontId="4" fillId="0" borderId="24" xfId="0" applyFont="1" applyBorder="1"/>
    <xf numFmtId="0" fontId="11" fillId="0" borderId="24" xfId="0" applyFont="1" applyBorder="1"/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4" fillId="0" borderId="25" xfId="0" applyFont="1" applyBorder="1"/>
    <xf numFmtId="0" fontId="11" fillId="0" borderId="25" xfId="0" applyFont="1" applyBorder="1"/>
    <xf numFmtId="0" fontId="8" fillId="0" borderId="25" xfId="0" applyFont="1" applyBorder="1" applyAlignment="1">
      <alignment horizontal="center" vertical="center"/>
    </xf>
    <xf numFmtId="1" fontId="4" fillId="0" borderId="25" xfId="0" applyNumberFormat="1" applyFont="1" applyBorder="1"/>
    <xf numFmtId="43" fontId="4" fillId="0" borderId="25" xfId="3" applyFont="1" applyBorder="1"/>
    <xf numFmtId="0" fontId="7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4" fillId="0" borderId="18" xfId="27" applyFont="1" applyBorder="1"/>
    <xf numFmtId="9" fontId="5" fillId="0" borderId="19" xfId="27" applyNumberFormat="1" applyFont="1" applyBorder="1" applyAlignment="1">
      <alignment horizontal="center"/>
    </xf>
    <xf numFmtId="43" fontId="25" fillId="0" borderId="0" xfId="26" applyFont="1" applyFill="1" applyBorder="1"/>
    <xf numFmtId="43" fontId="13" fillId="0" borderId="0" xfId="26" applyFont="1" applyFill="1" applyBorder="1"/>
    <xf numFmtId="43" fontId="25" fillId="0" borderId="18" xfId="26" applyFont="1" applyFill="1" applyBorder="1" applyAlignment="1"/>
    <xf numFmtId="43" fontId="25" fillId="0" borderId="0" xfId="26" applyFont="1" applyFill="1" applyBorder="1" applyAlignment="1"/>
    <xf numFmtId="43" fontId="5" fillId="0" borderId="0" xfId="26" applyFont="1" applyFill="1" applyBorder="1" applyAlignment="1"/>
    <xf numFmtId="43" fontId="18" fillId="0" borderId="0" xfId="26" applyFont="1" applyFill="1" applyBorder="1" applyAlignment="1">
      <alignment horizontal="center" vertical="center"/>
    </xf>
    <xf numFmtId="0" fontId="4" fillId="0" borderId="21" xfId="27" applyFont="1" applyBorder="1"/>
    <xf numFmtId="0" fontId="5" fillId="0" borderId="13" xfId="27" applyFont="1" applyBorder="1" applyAlignment="1">
      <alignment horizontal="center"/>
    </xf>
    <xf numFmtId="0" fontId="5" fillId="0" borderId="15" xfId="27" applyFont="1" applyBorder="1" applyAlignment="1">
      <alignment horizontal="center"/>
    </xf>
    <xf numFmtId="43" fontId="5" fillId="0" borderId="0" xfId="26" applyFont="1" applyFill="1" applyBorder="1" applyAlignment="1">
      <alignment horizontal="right"/>
    </xf>
    <xf numFmtId="43" fontId="5" fillId="0" borderId="1" xfId="26" applyFont="1" applyFill="1" applyBorder="1"/>
    <xf numFmtId="43" fontId="5" fillId="0" borderId="19" xfId="26" applyFont="1" applyFill="1" applyBorder="1"/>
    <xf numFmtId="0" fontId="5" fillId="0" borderId="22" xfId="27" applyFont="1" applyBorder="1" applyAlignment="1">
      <alignment horizontal="center"/>
    </xf>
    <xf numFmtId="43" fontId="18" fillId="4" borderId="1" xfId="26" applyFont="1" applyFill="1" applyBorder="1" applyAlignment="1" applyProtection="1">
      <alignment vertical="center"/>
      <protection locked="0"/>
    </xf>
    <xf numFmtId="188" fontId="5" fillId="0" borderId="1" xfId="26" applyNumberFormat="1" applyFont="1" applyFill="1" applyBorder="1"/>
    <xf numFmtId="190" fontId="5" fillId="0" borderId="23" xfId="27" applyNumberFormat="1" applyFont="1" applyBorder="1" applyAlignment="1">
      <alignment horizontal="center"/>
    </xf>
    <xf numFmtId="190" fontId="5" fillId="0" borderId="17" xfId="27" applyNumberFormat="1" applyFont="1" applyBorder="1" applyAlignment="1">
      <alignment horizontal="center"/>
    </xf>
    <xf numFmtId="190" fontId="5" fillId="0" borderId="11" xfId="27" applyNumberFormat="1" applyFont="1" applyBorder="1" applyAlignment="1">
      <alignment horizontal="center"/>
    </xf>
    <xf numFmtId="187" fontId="26" fillId="0" borderId="1" xfId="26" applyNumberFormat="1" applyFont="1" applyFill="1" applyBorder="1"/>
    <xf numFmtId="187" fontId="27" fillId="5" borderId="27" xfId="26" applyNumberFormat="1" applyFont="1" applyFill="1" applyBorder="1" applyAlignment="1">
      <alignment vertical="center"/>
    </xf>
    <xf numFmtId="191" fontId="5" fillId="0" borderId="0" xfId="26" applyNumberFormat="1" applyFont="1" applyFill="1" applyBorder="1"/>
    <xf numFmtId="43" fontId="5" fillId="0" borderId="18" xfId="26" applyFont="1" applyFill="1" applyBorder="1" applyAlignment="1">
      <alignment horizontal="right"/>
    </xf>
    <xf numFmtId="43" fontId="5" fillId="0" borderId="28" xfId="26" applyFont="1" applyFill="1" applyBorder="1"/>
    <xf numFmtId="43" fontId="5" fillId="0" borderId="16" xfId="26" applyFont="1" applyFill="1" applyBorder="1" applyAlignment="1"/>
    <xf numFmtId="43" fontId="5" fillId="0" borderId="12" xfId="26" applyFont="1" applyFill="1" applyBorder="1" applyAlignment="1"/>
    <xf numFmtId="43" fontId="5" fillId="0" borderId="17" xfId="26" applyFont="1" applyFill="1" applyBorder="1" applyAlignment="1"/>
    <xf numFmtId="43" fontId="13" fillId="0" borderId="29" xfId="26" applyFont="1" applyFill="1" applyBorder="1"/>
    <xf numFmtId="43" fontId="13" fillId="0" borderId="26" xfId="26" applyFont="1" applyFill="1" applyBorder="1"/>
    <xf numFmtId="188" fontId="5" fillId="0" borderId="1" xfId="26" applyNumberFormat="1" applyFont="1" applyFill="1" applyBorder="1" applyAlignment="1">
      <alignment horizontal="right"/>
    </xf>
    <xf numFmtId="188" fontId="5" fillId="0" borderId="0" xfId="26" applyNumberFormat="1" applyFont="1" applyFill="1" applyBorder="1" applyAlignment="1">
      <alignment horizontal="right"/>
    </xf>
    <xf numFmtId="190" fontId="5" fillId="0" borderId="0" xfId="27" applyNumberFormat="1" applyFont="1" applyAlignment="1">
      <alignment horizontal="center"/>
    </xf>
    <xf numFmtId="43" fontId="21" fillId="0" borderId="0" xfId="3" applyFont="1" applyFill="1" applyAlignment="1">
      <alignment vertical="center"/>
    </xf>
    <xf numFmtId="0" fontId="7" fillId="0" borderId="0" xfId="8" applyFont="1" applyFill="1"/>
    <xf numFmtId="43" fontId="11" fillId="0" borderId="9" xfId="3" applyFont="1" applyBorder="1"/>
    <xf numFmtId="0" fontId="11" fillId="0" borderId="0" xfId="14" applyFont="1" applyBorder="1" applyAlignment="1" applyProtection="1">
      <alignment horizontal="left" vertical="top"/>
      <protection hidden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3" fontId="13" fillId="0" borderId="1" xfId="0" applyNumberFormat="1" applyFont="1" applyFill="1" applyBorder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43" fontId="11" fillId="6" borderId="0" xfId="0" applyNumberFormat="1" applyFont="1" applyFill="1" applyAlignment="1">
      <alignment vertical="center"/>
    </xf>
    <xf numFmtId="43" fontId="11" fillId="0" borderId="0" xfId="3" applyFont="1" applyAlignment="1">
      <alignment vertical="center"/>
    </xf>
    <xf numFmtId="43" fontId="20" fillId="0" borderId="0" xfId="3" applyFont="1" applyFill="1" applyAlignment="1">
      <alignment vertical="center"/>
    </xf>
    <xf numFmtId="43" fontId="11" fillId="0" borderId="0" xfId="3" applyFont="1" applyFill="1" applyAlignment="1">
      <alignment vertical="center"/>
    </xf>
    <xf numFmtId="0" fontId="14" fillId="0" borderId="4" xfId="0" applyFont="1" applyBorder="1"/>
    <xf numFmtId="4" fontId="13" fillId="0" borderId="4" xfId="0" applyNumberFormat="1" applyFont="1" applyBorder="1"/>
    <xf numFmtId="0" fontId="13" fillId="0" borderId="4" xfId="0" applyFont="1" applyBorder="1" applyAlignment="1">
      <alignment horizontal="center"/>
    </xf>
    <xf numFmtId="4" fontId="11" fillId="0" borderId="4" xfId="28" applyNumberFormat="1" applyFont="1" applyBorder="1"/>
    <xf numFmtId="0" fontId="11" fillId="0" borderId="6" xfId="0" applyFont="1" applyBorder="1"/>
    <xf numFmtId="0" fontId="13" fillId="0" borderId="6" xfId="0" applyFont="1" applyBorder="1" applyAlignment="1">
      <alignment horizontal="right"/>
    </xf>
    <xf numFmtId="0" fontId="11" fillId="0" borderId="30" xfId="0" applyFont="1" applyBorder="1"/>
    <xf numFmtId="4" fontId="11" fillId="0" borderId="6" xfId="0" applyNumberFormat="1" applyFont="1" applyBorder="1"/>
    <xf numFmtId="0" fontId="11" fillId="0" borderId="3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4" fontId="29" fillId="0" borderId="6" xfId="0" applyNumberFormat="1" applyFont="1" applyBorder="1"/>
    <xf numFmtId="0" fontId="29" fillId="0" borderId="6" xfId="0" applyFont="1" applyBorder="1"/>
    <xf numFmtId="0" fontId="28" fillId="0" borderId="32" xfId="0" applyFont="1" applyBorder="1"/>
    <xf numFmtId="0" fontId="29" fillId="0" borderId="33" xfId="0" applyFont="1" applyBorder="1" applyAlignment="1">
      <alignment horizontal="center"/>
    </xf>
    <xf numFmtId="43" fontId="29" fillId="0" borderId="8" xfId="3" applyFont="1" applyBorder="1"/>
    <xf numFmtId="4" fontId="11" fillId="0" borderId="4" xfId="0" applyNumberFormat="1" applyFont="1" applyBorder="1"/>
    <xf numFmtId="43" fontId="11" fillId="0" borderId="4" xfId="3" applyFont="1" applyFill="1" applyBorder="1" applyAlignment="1">
      <alignment horizontal="right"/>
    </xf>
    <xf numFmtId="0" fontId="11" fillId="0" borderId="4" xfId="0" applyFont="1" applyBorder="1" applyAlignment="1">
      <alignment horizontal="center"/>
    </xf>
    <xf numFmtId="43" fontId="29" fillId="0" borderId="4" xfId="0" applyNumberFormat="1" applyFont="1" applyFill="1" applyBorder="1"/>
    <xf numFmtId="0" fontId="29" fillId="0" borderId="1" xfId="0" applyFont="1" applyFill="1" applyBorder="1" applyAlignment="1">
      <alignment horizontal="right"/>
    </xf>
    <xf numFmtId="43" fontId="11" fillId="0" borderId="1" xfId="3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3" fontId="11" fillId="0" borderId="1" xfId="3" applyFont="1" applyFill="1" applyBorder="1" applyAlignment="1">
      <alignment horizontal="right"/>
    </xf>
    <xf numFmtId="43" fontId="13" fillId="0" borderId="1" xfId="0" applyNumberFormat="1" applyFont="1" applyFill="1" applyBorder="1" applyAlignment="1">
      <alignment horizontal="right"/>
    </xf>
    <xf numFmtId="0" fontId="30" fillId="0" borderId="1" xfId="0" applyFont="1" applyFill="1" applyBorder="1"/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3" fontId="13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3" fillId="0" borderId="30" xfId="0" applyFont="1" applyBorder="1"/>
    <xf numFmtId="49" fontId="11" fillId="0" borderId="4" xfId="28" applyNumberFormat="1" applyFont="1" applyBorder="1" applyAlignment="1">
      <alignment horizontal="right"/>
    </xf>
    <xf numFmtId="0" fontId="14" fillId="0" borderId="4" xfId="28" applyFont="1" applyBorder="1"/>
    <xf numFmtId="0" fontId="11" fillId="0" borderId="4" xfId="28" applyFont="1" applyBorder="1" applyAlignment="1">
      <alignment horizontal="center"/>
    </xf>
    <xf numFmtId="49" fontId="11" fillId="0" borderId="8" xfId="28" applyNumberFormat="1" applyFont="1" applyBorder="1" applyAlignment="1">
      <alignment horizontal="right"/>
    </xf>
    <xf numFmtId="49" fontId="13" fillId="0" borderId="4" xfId="28" applyNumberFormat="1" applyFont="1" applyBorder="1" applyAlignment="1">
      <alignment horizontal="center"/>
    </xf>
    <xf numFmtId="49" fontId="11" fillId="0" borderId="4" xfId="28" applyNumberFormat="1" applyFont="1" applyBorder="1" applyAlignment="1">
      <alignment horizontal="center"/>
    </xf>
    <xf numFmtId="49" fontId="11" fillId="0" borderId="8" xfId="28" applyNumberFormat="1" applyFont="1" applyBorder="1" applyAlignment="1">
      <alignment horizontal="center"/>
    </xf>
    <xf numFmtId="49" fontId="11" fillId="0" borderId="6" xfId="28" applyNumberFormat="1" applyFont="1" applyBorder="1" applyAlignment="1">
      <alignment horizontal="right"/>
    </xf>
    <xf numFmtId="0" fontId="11" fillId="0" borderId="18" xfId="0" applyFont="1" applyBorder="1"/>
    <xf numFmtId="4" fontId="11" fillId="0" borderId="9" xfId="0" applyNumberFormat="1" applyFont="1" applyBorder="1"/>
    <xf numFmtId="0" fontId="11" fillId="0" borderId="9" xfId="0" applyFont="1" applyBorder="1" applyAlignment="1">
      <alignment horizontal="center"/>
    </xf>
    <xf numFmtId="0" fontId="13" fillId="0" borderId="1" xfId="29" applyFont="1" applyFill="1" applyBorder="1" applyAlignment="1">
      <alignment horizontal="center" vertical="center"/>
    </xf>
    <xf numFmtId="0" fontId="13" fillId="0" borderId="14" xfId="29" quotePrefix="1" applyFont="1" applyFill="1" applyBorder="1" applyAlignment="1">
      <alignment horizontal="center" vertical="center"/>
    </xf>
    <xf numFmtId="43" fontId="13" fillId="0" borderId="1" xfId="3" applyFont="1" applyFill="1" applyBorder="1" applyAlignment="1">
      <alignment horizontal="right" vertical="center"/>
    </xf>
    <xf numFmtId="43" fontId="13" fillId="0" borderId="1" xfId="29" applyNumberFormat="1" applyFont="1" applyFill="1" applyBorder="1" applyAlignment="1">
      <alignment horizontal="center" vertical="center"/>
    </xf>
    <xf numFmtId="43" fontId="13" fillId="0" borderId="1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/>
    </xf>
    <xf numFmtId="43" fontId="13" fillId="0" borderId="1" xfId="3" applyFont="1" applyFill="1" applyBorder="1"/>
    <xf numFmtId="0" fontId="11" fillId="0" borderId="1" xfId="0" applyFont="1" applyFill="1" applyBorder="1"/>
    <xf numFmtId="43" fontId="11" fillId="0" borderId="8" xfId="3" applyFont="1" applyBorder="1"/>
    <xf numFmtId="43" fontId="13" fillId="0" borderId="34" xfId="0" applyNumberFormat="1" applyFont="1" applyFill="1" applyBorder="1" applyAlignment="1">
      <alignment horizontal="center" vertical="center"/>
    </xf>
    <xf numFmtId="189" fontId="4" fillId="0" borderId="25" xfId="0" applyNumberFormat="1" applyFont="1" applyBorder="1" applyAlignment="1">
      <alignment horizontal="right"/>
    </xf>
    <xf numFmtId="0" fontId="4" fillId="0" borderId="25" xfId="0" applyFont="1" applyBorder="1" applyAlignment="1">
      <alignment horizontal="left"/>
    </xf>
    <xf numFmtId="0" fontId="11" fillId="0" borderId="9" xfId="0" applyFont="1" applyFill="1" applyBorder="1" applyAlignment="1">
      <alignment horizontal="center"/>
    </xf>
    <xf numFmtId="43" fontId="11" fillId="0" borderId="9" xfId="3" applyFont="1" applyFill="1" applyBorder="1" applyAlignment="1">
      <alignment horizontal="right"/>
    </xf>
    <xf numFmtId="43" fontId="29" fillId="0" borderId="9" xfId="0" applyNumberFormat="1" applyFont="1" applyFill="1" applyBorder="1"/>
    <xf numFmtId="0" fontId="31" fillId="0" borderId="0" xfId="30" applyFill="1" applyAlignment="1">
      <alignment vertical="center"/>
    </xf>
    <xf numFmtId="0" fontId="31" fillId="0" borderId="0" xfId="30" applyAlignment="1">
      <alignment vertical="center"/>
    </xf>
    <xf numFmtId="9" fontId="11" fillId="0" borderId="0" xfId="0" applyNumberFormat="1" applyFont="1" applyFill="1" applyAlignment="1">
      <alignment vertical="center"/>
    </xf>
    <xf numFmtId="49" fontId="11" fillId="0" borderId="6" xfId="28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0" fontId="11" fillId="0" borderId="6" xfId="0" applyFont="1" applyFill="1" applyBorder="1" applyAlignment="1">
      <alignment horizontal="center"/>
    </xf>
    <xf numFmtId="43" fontId="11" fillId="0" borderId="4" xfId="3" applyFont="1" applyFill="1" applyBorder="1"/>
    <xf numFmtId="43" fontId="11" fillId="0" borderId="6" xfId="0" applyNumberFormat="1" applyFont="1" applyFill="1" applyBorder="1"/>
    <xf numFmtId="0" fontId="13" fillId="0" borderId="4" xfId="0" applyFont="1" applyFill="1" applyBorder="1" applyAlignment="1">
      <alignment horizontal="right"/>
    </xf>
    <xf numFmtId="0" fontId="13" fillId="0" borderId="9" xfId="0" applyFont="1" applyFill="1" applyBorder="1" applyAlignment="1">
      <alignment horizontal="right"/>
    </xf>
    <xf numFmtId="43" fontId="11" fillId="0" borderId="9" xfId="3" applyFont="1" applyFill="1" applyBorder="1"/>
    <xf numFmtId="43" fontId="11" fillId="0" borderId="9" xfId="0" applyNumberFormat="1" applyFont="1" applyFill="1" applyBorder="1"/>
    <xf numFmtId="43" fontId="11" fillId="0" borderId="4" xfId="0" applyNumberFormat="1" applyFont="1" applyBorder="1"/>
    <xf numFmtId="0" fontId="7" fillId="3" borderId="0" xfId="8" applyFont="1" applyFill="1"/>
    <xf numFmtId="43" fontId="7" fillId="3" borderId="0" xfId="3" applyFont="1" applyFill="1"/>
    <xf numFmtId="43" fontId="7" fillId="0" borderId="0" xfId="3" applyFont="1"/>
    <xf numFmtId="43" fontId="11" fillId="0" borderId="1" xfId="3" applyFont="1" applyBorder="1" applyAlignment="1">
      <alignment horizontal="center"/>
    </xf>
    <xf numFmtId="43" fontId="11" fillId="0" borderId="1" xfId="3" applyFont="1" applyBorder="1"/>
    <xf numFmtId="43" fontId="11" fillId="0" borderId="3" xfId="3" applyFont="1" applyBorder="1" applyAlignment="1">
      <alignment horizontal="center"/>
    </xf>
    <xf numFmtId="43" fontId="11" fillId="0" borderId="3" xfId="3" applyFont="1" applyFill="1" applyBorder="1" applyAlignment="1">
      <alignment horizontal="center"/>
    </xf>
    <xf numFmtId="43" fontId="11" fillId="0" borderId="3" xfId="3" applyFont="1" applyFill="1" applyBorder="1"/>
    <xf numFmtId="43" fontId="11" fillId="0" borderId="3" xfId="3" applyFont="1" applyBorder="1"/>
    <xf numFmtId="43" fontId="11" fillId="0" borderId="6" xfId="3" applyFont="1" applyBorder="1"/>
    <xf numFmtId="43" fontId="11" fillId="0" borderId="4" xfId="3" applyFont="1" applyBorder="1" applyAlignment="1">
      <alignment horizontal="center"/>
    </xf>
    <xf numFmtId="43" fontId="11" fillId="0" borderId="4" xfId="3" quotePrefix="1" applyFont="1" applyFill="1" applyBorder="1" applyAlignment="1">
      <alignment horizontal="center"/>
    </xf>
    <xf numFmtId="43" fontId="11" fillId="0" borderId="4" xfId="3" applyFont="1" applyFill="1" applyBorder="1" applyAlignment="1">
      <alignment horizontal="center"/>
    </xf>
    <xf numFmtId="0" fontId="11" fillId="0" borderId="0" xfId="29" applyFont="1"/>
    <xf numFmtId="0" fontId="11" fillId="0" borderId="0" xfId="29" applyFont="1" applyAlignment="1">
      <alignment horizontal="left"/>
    </xf>
    <xf numFmtId="49" fontId="11" fillId="0" borderId="4" xfId="0" applyNumberFormat="1" applyFont="1" applyFill="1" applyBorder="1" applyAlignment="1">
      <alignment horizontal="left" vertical="center" indent="1"/>
    </xf>
    <xf numFmtId="192" fontId="11" fillId="0" borderId="4" xfId="32" applyNumberFormat="1" applyFont="1" applyFill="1" applyBorder="1" applyAlignment="1">
      <alignment vertical="center"/>
    </xf>
    <xf numFmtId="49" fontId="11" fillId="0" borderId="4" xfId="32" applyNumberFormat="1" applyFont="1" applyFill="1" applyBorder="1" applyAlignment="1">
      <alignment horizontal="center" vertical="center"/>
    </xf>
    <xf numFmtId="43" fontId="33" fillId="0" borderId="4" xfId="17" applyFont="1" applyBorder="1" applyAlignment="1">
      <alignment horizontal="right"/>
    </xf>
    <xf numFmtId="43" fontId="33" fillId="0" borderId="4" xfId="17" applyFont="1" applyBorder="1"/>
    <xf numFmtId="0" fontId="11" fillId="0" borderId="1" xfId="0" applyFont="1" applyBorder="1"/>
    <xf numFmtId="0" fontId="11" fillId="0" borderId="3" xfId="0" applyFont="1" applyBorder="1"/>
    <xf numFmtId="43" fontId="11" fillId="0" borderId="3" xfId="3" applyFont="1" applyFill="1" applyBorder="1" applyAlignment="1">
      <alignment horizontal="right"/>
    </xf>
    <xf numFmtId="0" fontId="11" fillId="0" borderId="36" xfId="0" applyFont="1" applyFill="1" applyBorder="1" applyAlignment="1">
      <alignment horizontal="center"/>
    </xf>
    <xf numFmtId="0" fontId="11" fillId="0" borderId="37" xfId="0" applyFont="1" applyBorder="1"/>
    <xf numFmtId="43" fontId="11" fillId="0" borderId="38" xfId="3" applyFont="1" applyBorder="1"/>
    <xf numFmtId="43" fontId="11" fillId="0" borderId="36" xfId="3" applyFont="1" applyBorder="1"/>
    <xf numFmtId="49" fontId="13" fillId="0" borderId="14" xfId="0" quotePrefix="1" applyNumberFormat="1" applyFont="1" applyFill="1" applyBorder="1" applyAlignment="1">
      <alignment horizontal="center"/>
    </xf>
    <xf numFmtId="43" fontId="11" fillId="0" borderId="9" xfId="3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4" fillId="0" borderId="0" xfId="29" applyFont="1"/>
    <xf numFmtId="0" fontId="13" fillId="0" borderId="14" xfId="29" applyFont="1" applyBorder="1"/>
    <xf numFmtId="0" fontId="11" fillId="0" borderId="18" xfId="29" applyFont="1" applyBorder="1"/>
    <xf numFmtId="192" fontId="11" fillId="0" borderId="8" xfId="32" applyNumberFormat="1" applyFont="1" applyFill="1" applyBorder="1" applyAlignment="1">
      <alignment vertical="center"/>
    </xf>
    <xf numFmtId="0" fontId="11" fillId="0" borderId="8" xfId="0" applyFont="1" applyBorder="1"/>
    <xf numFmtId="49" fontId="11" fillId="0" borderId="9" xfId="28" applyNumberFormat="1" applyFont="1" applyBorder="1" applyAlignment="1">
      <alignment horizontal="right"/>
    </xf>
    <xf numFmtId="49" fontId="11" fillId="0" borderId="1" xfId="28" applyNumberFormat="1" applyFont="1" applyBorder="1" applyAlignment="1">
      <alignment horizontal="right"/>
    </xf>
    <xf numFmtId="0" fontId="13" fillId="3" borderId="2" xfId="0" applyFont="1" applyFill="1" applyBorder="1"/>
    <xf numFmtId="43" fontId="11" fillId="3" borderId="2" xfId="3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43" fontId="11" fillId="3" borderId="2" xfId="3" applyFont="1" applyFill="1" applyBorder="1"/>
    <xf numFmtId="0" fontId="11" fillId="0" borderId="9" xfId="0" applyFont="1" applyBorder="1"/>
    <xf numFmtId="43" fontId="11" fillId="0" borderId="9" xfId="3" applyFont="1" applyBorder="1" applyAlignment="1">
      <alignment horizontal="center"/>
    </xf>
    <xf numFmtId="0" fontId="13" fillId="0" borderId="16" xfId="0" quotePrefix="1" applyFont="1" applyBorder="1" applyAlignment="1">
      <alignment horizontal="center"/>
    </xf>
    <xf numFmtId="0" fontId="11" fillId="0" borderId="30" xfId="0" applyFont="1" applyFill="1" applyBorder="1"/>
    <xf numFmtId="0" fontId="13" fillId="0" borderId="8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43" fontId="11" fillId="0" borderId="5" xfId="0" applyNumberFormat="1" applyFont="1" applyFill="1" applyBorder="1"/>
    <xf numFmtId="43" fontId="11" fillId="0" borderId="1" xfId="0" applyNumberFormat="1" applyFont="1" applyFill="1" applyBorder="1"/>
    <xf numFmtId="43" fontId="11" fillId="0" borderId="2" xfId="0" applyNumberFormat="1" applyFont="1" applyFill="1" applyBorder="1"/>
    <xf numFmtId="43" fontId="13" fillId="0" borderId="5" xfId="3" applyNumberFormat="1" applyFont="1" applyFill="1" applyBorder="1" applyAlignment="1">
      <alignment horizontal="right" vertical="center"/>
    </xf>
    <xf numFmtId="0" fontId="13" fillId="0" borderId="1" xfId="29" quotePrefix="1" applyFont="1" applyFill="1" applyBorder="1" applyAlignment="1">
      <alignment horizontal="center" vertical="center"/>
    </xf>
    <xf numFmtId="43" fontId="13" fillId="0" borderId="42" xfId="3" applyFont="1" applyFill="1" applyBorder="1" applyAlignment="1">
      <alignment horizontal="right" vertical="center"/>
    </xf>
    <xf numFmtId="4" fontId="11" fillId="0" borderId="5" xfId="0" applyNumberFormat="1" applyFont="1" applyFill="1" applyBorder="1"/>
    <xf numFmtId="0" fontId="11" fillId="0" borderId="5" xfId="0" applyFont="1" applyFill="1" applyBorder="1" applyAlignment="1">
      <alignment horizontal="center"/>
    </xf>
    <xf numFmtId="43" fontId="11" fillId="0" borderId="5" xfId="3" applyFont="1" applyFill="1" applyBorder="1"/>
    <xf numFmtId="0" fontId="11" fillId="0" borderId="31" xfId="0" applyFont="1" applyFill="1" applyBorder="1" applyAlignment="1">
      <alignment horizontal="center"/>
    </xf>
    <xf numFmtId="0" fontId="35" fillId="0" borderId="30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43" fontId="11" fillId="0" borderId="8" xfId="3" applyFont="1" applyFill="1" applyBorder="1"/>
    <xf numFmtId="0" fontId="13" fillId="0" borderId="35" xfId="0" applyFont="1" applyFill="1" applyBorder="1" applyAlignment="1">
      <alignment horizontal="right"/>
    </xf>
    <xf numFmtId="0" fontId="11" fillId="0" borderId="37" xfId="0" applyFont="1" applyFill="1" applyBorder="1"/>
    <xf numFmtId="43" fontId="11" fillId="0" borderId="38" xfId="3" applyFont="1" applyFill="1" applyBorder="1"/>
    <xf numFmtId="0" fontId="13" fillId="0" borderId="4" xfId="0" applyFont="1" applyFill="1" applyBorder="1" applyAlignment="1">
      <alignment horizontal="center"/>
    </xf>
    <xf numFmtId="0" fontId="28" fillId="0" borderId="32" xfId="0" applyFont="1" applyFill="1" applyBorder="1"/>
    <xf numFmtId="0" fontId="11" fillId="0" borderId="9" xfId="0" applyFont="1" applyFill="1" applyBorder="1"/>
    <xf numFmtId="0" fontId="35" fillId="0" borderId="37" xfId="0" applyFont="1" applyFill="1" applyBorder="1"/>
    <xf numFmtId="43" fontId="11" fillId="0" borderId="1" xfId="3" applyFont="1" applyFill="1" applyBorder="1"/>
    <xf numFmtId="0" fontId="13" fillId="0" borderId="5" xfId="0" applyFont="1" applyFill="1" applyBorder="1"/>
    <xf numFmtId="43" fontId="11" fillId="0" borderId="5" xfId="3" applyFont="1" applyFill="1" applyBorder="1" applyAlignment="1">
      <alignment horizontal="center"/>
    </xf>
    <xf numFmtId="43" fontId="11" fillId="0" borderId="4" xfId="3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3" fontId="11" fillId="0" borderId="38" xfId="3" applyFont="1" applyFill="1" applyBorder="1" applyAlignment="1">
      <alignment horizontal="center" vertical="center"/>
    </xf>
    <xf numFmtId="0" fontId="11" fillId="0" borderId="3" xfId="0" applyFont="1" applyFill="1" applyBorder="1"/>
    <xf numFmtId="43" fontId="11" fillId="0" borderId="3" xfId="3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left"/>
    </xf>
    <xf numFmtId="0" fontId="11" fillId="0" borderId="40" xfId="0" applyFont="1" applyFill="1" applyBorder="1"/>
    <xf numFmtId="43" fontId="11" fillId="0" borderId="8" xfId="3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3" fontId="11" fillId="0" borderId="41" xfId="3" applyFont="1" applyFill="1" applyBorder="1"/>
    <xf numFmtId="0" fontId="11" fillId="0" borderId="19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/>
    </xf>
    <xf numFmtId="0" fontId="11" fillId="0" borderId="6" xfId="0" applyFont="1" applyFill="1" applyBorder="1"/>
    <xf numFmtId="43" fontId="11" fillId="0" borderId="6" xfId="3" applyFont="1" applyFill="1" applyBorder="1" applyAlignment="1">
      <alignment horizontal="center"/>
    </xf>
    <xf numFmtId="43" fontId="11" fillId="0" borderId="6" xfId="3" applyFont="1" applyFill="1" applyBorder="1"/>
    <xf numFmtId="0" fontId="35" fillId="0" borderId="9" xfId="0" applyFont="1" applyFill="1" applyBorder="1"/>
    <xf numFmtId="0" fontId="7" fillId="0" borderId="0" xfId="8" applyFont="1" applyAlignment="1">
      <alignment horizontal="right"/>
    </xf>
    <xf numFmtId="0" fontId="18" fillId="0" borderId="0" xfId="0" quotePrefix="1" applyFont="1" applyAlignment="1">
      <alignment horizontal="center"/>
    </xf>
    <xf numFmtId="0" fontId="15" fillId="0" borderId="13" xfId="8" applyFont="1" applyBorder="1" applyAlignment="1">
      <alignment horizontal="center" vertical="center" wrapText="1"/>
    </xf>
    <xf numFmtId="0" fontId="15" fillId="0" borderId="3" xfId="8" applyFont="1" applyBorder="1" applyAlignment="1">
      <alignment horizontal="center" vertical="center" wrapText="1"/>
    </xf>
    <xf numFmtId="0" fontId="15" fillId="0" borderId="9" xfId="8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/>
    </xf>
    <xf numFmtId="0" fontId="4" fillId="0" borderId="0" xfId="15" applyFont="1" applyAlignment="1">
      <alignment horizontal="left" vertical="top"/>
    </xf>
    <xf numFmtId="0" fontId="11" fillId="0" borderId="0" xfId="14" applyFont="1" applyBorder="1" applyAlignment="1" applyProtection="1">
      <alignment horizontal="left"/>
      <protection hidden="1"/>
    </xf>
    <xf numFmtId="0" fontId="7" fillId="0" borderId="2" xfId="8" applyFont="1" applyBorder="1" applyAlignment="1">
      <alignment horizontal="center" vertical="center"/>
    </xf>
    <xf numFmtId="0" fontId="7" fillId="0" borderId="9" xfId="8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11" fillId="0" borderId="0" xfId="14" applyFont="1" applyBorder="1" applyAlignment="1" applyProtection="1">
      <alignment horizontal="left" vertical="top"/>
      <protection hidden="1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6" applyFont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6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3" fontId="13" fillId="0" borderId="1" xfId="0" applyNumberFormat="1" applyFont="1" applyFill="1" applyBorder="1" applyAlignment="1">
      <alignment horizontal="center" vertical="center"/>
    </xf>
    <xf numFmtId="43" fontId="26" fillId="0" borderId="18" xfId="26" applyFont="1" applyFill="1" applyBorder="1" applyAlignment="1">
      <alignment horizontal="center"/>
    </xf>
    <xf numFmtId="43" fontId="26" fillId="0" borderId="0" xfId="26" applyFont="1" applyFill="1" applyBorder="1" applyAlignment="1">
      <alignment horizontal="center"/>
    </xf>
    <xf numFmtId="43" fontId="26" fillId="0" borderId="19" xfId="26" applyFont="1" applyFill="1" applyBorder="1" applyAlignment="1">
      <alignment horizontal="center"/>
    </xf>
    <xf numFmtId="17" fontId="5" fillId="0" borderId="0" xfId="27" quotePrefix="1" applyNumberFormat="1" applyFont="1" applyAlignment="1">
      <alignment horizontal="center"/>
    </xf>
    <xf numFmtId="0" fontId="22" fillId="0" borderId="14" xfId="27" applyFont="1" applyBorder="1" applyAlignment="1">
      <alignment horizontal="center"/>
    </xf>
    <xf numFmtId="0" fontId="22" fillId="0" borderId="10" xfId="27" applyFont="1" applyBorder="1" applyAlignment="1">
      <alignment horizontal="center"/>
    </xf>
    <xf numFmtId="0" fontId="22" fillId="0" borderId="11" xfId="27" applyFont="1" applyBorder="1" applyAlignment="1">
      <alignment horizontal="center"/>
    </xf>
    <xf numFmtId="0" fontId="5" fillId="0" borderId="16" xfId="27" applyFont="1" applyBorder="1" applyAlignment="1">
      <alignment horizontal="center"/>
    </xf>
    <xf numFmtId="0" fontId="5" fillId="0" borderId="17" xfId="27" applyFont="1" applyBorder="1" applyAlignment="1">
      <alignment horizontal="center"/>
    </xf>
    <xf numFmtId="43" fontId="5" fillId="0" borderId="16" xfId="26" applyFont="1" applyFill="1" applyBorder="1" applyAlignment="1">
      <alignment horizontal="center"/>
    </xf>
    <xf numFmtId="43" fontId="5" fillId="0" borderId="12" xfId="26" applyFont="1" applyFill="1" applyBorder="1" applyAlignment="1">
      <alignment horizontal="center"/>
    </xf>
    <xf numFmtId="43" fontId="5" fillId="0" borderId="17" xfId="26" applyFont="1" applyFill="1" applyBorder="1" applyAlignment="1">
      <alignment horizontal="center"/>
    </xf>
    <xf numFmtId="43" fontId="18" fillId="0" borderId="0" xfId="26" applyFont="1" applyFill="1" applyBorder="1" applyAlignment="1">
      <alignment vertical="center"/>
    </xf>
  </cellXfs>
  <cellStyles count="33">
    <cellStyle name=",;F'KOIT[[WAAHK" xfId="1"/>
    <cellStyle name="Comma 10" xfId="17"/>
    <cellStyle name="Comma 11" xfId="18"/>
    <cellStyle name="Comma 16" xfId="19"/>
    <cellStyle name="Comma 2" xfId="2"/>
    <cellStyle name="Comma 2 2 2" xfId="20"/>
    <cellStyle name="Comma 3" xfId="32"/>
    <cellStyle name="Comma 4 2" xfId="21"/>
    <cellStyle name="Comma 5 2 2" xfId="22"/>
    <cellStyle name="Comma 6 2" xfId="23"/>
    <cellStyle name="Hyperlink" xfId="30" builtinId="8"/>
    <cellStyle name="Normal 10" xfId="11"/>
    <cellStyle name="Normal 2" xfId="31"/>
    <cellStyle name="Normal 2 3" xfId="29"/>
    <cellStyle name="Normal 4" xfId="24"/>
    <cellStyle name="Normal 4 3" xfId="14"/>
    <cellStyle name="Normal 4 4" xfId="12"/>
    <cellStyle name="Normal 5" xfId="10"/>
    <cellStyle name="Normal 7" xfId="15"/>
    <cellStyle name="เครื่องหมายจุลภาค 2" xfId="5"/>
    <cellStyle name="เครื่องหมายจุลภาค 2 10" xfId="13"/>
    <cellStyle name="เครื่องหมายจุลภาค 3" xfId="7"/>
    <cellStyle name="เครื่องหมายจุลภาค 4" xfId="9"/>
    <cellStyle name="เครื่องหมายจุลภาค_คำนวณค่าเฉลี่ย Factor-F_6%" xfId="26"/>
    <cellStyle name="จุลภาค" xfId="3" builtinId="3"/>
    <cellStyle name="จุลภาค 2" xfId="25"/>
    <cellStyle name="ปกติ" xfId="0" builtinId="0"/>
    <cellStyle name="ปกติ 2" xfId="4"/>
    <cellStyle name="ปกติ 3" xfId="6"/>
    <cellStyle name="ปกติ 4" xfId="8"/>
    <cellStyle name="ปกติ 5" xfId="16"/>
    <cellStyle name="ปกติ_boqสนงจังหวัด" xfId="28"/>
    <cellStyle name="ปกติ_คำนวณค่าเฉลี่ย Factor-F_6%" xfId="27"/>
  </cellStyles>
  <dxfs count="0"/>
  <tableStyles count="0" defaultTableStyle="TableStyleMedium9" defaultPivotStyle="PivotStyleLight16"/>
  <colors>
    <mruColors>
      <color rgb="FFCCFF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591;&#3634;&#3609;&#3626;&#3635;&#3609;&#3633;&#3585;&#3591;&#3634;&#3609;2556\&#3604;&#3656;&#3634;&#3609;&#3607;&#3656;&#3634;&#3621;&#3637;&#3656;Phase2.2555\JULY\FINAL\OK\&#3611;&#3619;&#3632;&#3617;&#3634;&#3603;&#3619;&#3634;&#3588;&#3634;&#3619;&#3633;&#3657;&#3623;&#3650;&#3611;&#3619;&#3656;&#3591;&#3588;&#3623;&#3634;&#3617;&#3618;&#3634;&#3623;%201,067%20&#3648;&#3617;&#3605;&#3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วัสดุเดือนapril"/>
      <sheetName val="ราคาวัสดุที่แหล่ง"/>
      <sheetName val="ข้อมูลขนส่ง"/>
      <sheetName val="คอนกรีต_แบบ"/>
      <sheetName val="ผนัง"/>
      <sheetName val="ผนังเบา"/>
      <sheetName val="พื้น"/>
      <sheetName val="ฝ้า_สี"/>
      <sheetName val="ค่าขนส่งด้วยรถหกล้อ"/>
      <sheetName val="ค่าขนส่งด้วยรถสิบล้อ"/>
      <sheetName val="ค่าขนส่งด้วยรถสิบล้อ+รถพ่วง"/>
      <sheetName val="ปร51"/>
      <sheetName val="ปร42"/>
    </sheetNames>
    <sheetDataSet>
      <sheetData sheetId="0"/>
      <sheetData sheetId="1">
        <row r="16">
          <cell r="F16">
            <v>1042.56</v>
          </cell>
        </row>
        <row r="26">
          <cell r="F26">
            <v>25.24</v>
          </cell>
        </row>
        <row r="32">
          <cell r="F32">
            <v>35.06</v>
          </cell>
        </row>
        <row r="44">
          <cell r="F44">
            <v>364.49</v>
          </cell>
        </row>
        <row r="50">
          <cell r="F50">
            <v>31.15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homepro.co.th/p/151407" TargetMode="External"/><Relationship Id="rId1" Type="http://schemas.openxmlformats.org/officeDocument/2006/relationships/hyperlink" Target="https://www.thaiwatsadu.com/th/product/%E0%B8%AA%E0%B8%B2%E0%B8%A2%E0%B9%84%E0%B8%9F-YAZAKI-%E0%B8%A3%E0%B8%B8%E0%B9%88%E0%B8%99-60227-IEC01THW1x15-6012400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153"/>
  <sheetViews>
    <sheetView view="pageBreakPreview" topLeftCell="A40" zoomScaleNormal="85" zoomScaleSheetLayoutView="100" workbookViewId="0">
      <selection activeCell="F11" sqref="F11"/>
    </sheetView>
  </sheetViews>
  <sheetFormatPr defaultColWidth="9.140625" defaultRowHeight="21"/>
  <cols>
    <col min="1" max="1" width="7.28515625" style="2" customWidth="1"/>
    <col min="2" max="2" width="24.7109375" style="2" customWidth="1"/>
    <col min="3" max="3" width="26.7109375" style="2" customWidth="1"/>
    <col min="4" max="4" width="16.7109375" style="2" customWidth="1"/>
    <col min="5" max="5" width="24.7109375" style="2" customWidth="1"/>
    <col min="6" max="6" width="20.7109375" style="2" customWidth="1"/>
    <col min="7" max="7" width="9.140625" style="2"/>
    <col min="8" max="8" width="14.140625" style="2" bestFit="1" customWidth="1"/>
    <col min="9" max="16384" width="9.140625" style="2"/>
  </cols>
  <sheetData>
    <row r="1" spans="1:6" ht="21" customHeight="1">
      <c r="E1" s="303" t="s">
        <v>9</v>
      </c>
      <c r="F1" s="303"/>
    </row>
    <row r="2" spans="1:6" ht="21.95" customHeight="1">
      <c r="A2" s="304" t="s">
        <v>58</v>
      </c>
      <c r="B2" s="304"/>
      <c r="C2" s="304"/>
      <c r="D2" s="304"/>
      <c r="E2" s="304"/>
      <c r="F2" s="304"/>
    </row>
    <row r="3" spans="1:6" ht="21.95" customHeight="1">
      <c r="A3" s="308" t="s">
        <v>173</v>
      </c>
      <c r="B3" s="308"/>
      <c r="C3" s="308"/>
      <c r="D3" s="308"/>
      <c r="E3" s="308"/>
      <c r="F3" s="308"/>
    </row>
    <row r="4" spans="1:6" ht="6.75" customHeight="1">
      <c r="A4" s="79"/>
      <c r="B4" s="79"/>
      <c r="C4" s="79"/>
      <c r="D4" s="79"/>
      <c r="E4" s="79"/>
      <c r="F4" s="79"/>
    </row>
    <row r="5" spans="1:6" ht="21" customHeight="1">
      <c r="A5" s="81" t="s">
        <v>59</v>
      </c>
      <c r="B5" s="82" t="s">
        <v>32</v>
      </c>
      <c r="C5" s="82" t="s">
        <v>124</v>
      </c>
      <c r="D5" s="83"/>
      <c r="E5" s="82"/>
      <c r="F5" s="84"/>
    </row>
    <row r="6" spans="1:6" ht="21" customHeight="1">
      <c r="A6" s="85" t="s">
        <v>59</v>
      </c>
      <c r="B6" s="86" t="s">
        <v>33</v>
      </c>
      <c r="C6" s="86" t="s">
        <v>76</v>
      </c>
      <c r="D6" s="87"/>
      <c r="E6" s="88"/>
      <c r="F6" s="88"/>
    </row>
    <row r="7" spans="1:6" ht="21" customHeight="1">
      <c r="A7" s="85" t="s">
        <v>59</v>
      </c>
      <c r="B7" s="86" t="s">
        <v>34</v>
      </c>
      <c r="C7" s="89" t="s">
        <v>88</v>
      </c>
      <c r="D7" s="87"/>
      <c r="E7" s="86"/>
      <c r="F7" s="90"/>
    </row>
    <row r="8" spans="1:6" ht="21" customHeight="1">
      <c r="A8" s="85" t="s">
        <v>59</v>
      </c>
      <c r="B8" s="86" t="s">
        <v>35</v>
      </c>
      <c r="C8" s="310" t="s">
        <v>175</v>
      </c>
      <c r="D8" s="310"/>
      <c r="E8" s="192" t="s">
        <v>63</v>
      </c>
      <c r="F8" s="193" t="s">
        <v>176</v>
      </c>
    </row>
    <row r="9" spans="1:6" ht="21" customHeight="1">
      <c r="A9" s="85" t="s">
        <v>59</v>
      </c>
      <c r="B9" s="19" t="s">
        <v>64</v>
      </c>
      <c r="C9" s="19"/>
      <c r="D9" s="19"/>
      <c r="E9" s="41" t="s">
        <v>2</v>
      </c>
      <c r="F9" s="80" t="s">
        <v>189</v>
      </c>
    </row>
    <row r="10" spans="1:6" ht="21" customHeight="1">
      <c r="A10" s="85" t="s">
        <v>59</v>
      </c>
      <c r="B10" s="309" t="s">
        <v>60</v>
      </c>
      <c r="C10" s="309"/>
      <c r="D10" s="309"/>
      <c r="E10" s="309"/>
      <c r="F10" s="309"/>
    </row>
    <row r="11" spans="1:6" ht="21" customHeight="1">
      <c r="A11" s="85" t="s">
        <v>59</v>
      </c>
      <c r="B11" s="91" t="s">
        <v>61</v>
      </c>
      <c r="C11" s="88"/>
      <c r="D11" s="88"/>
      <c r="E11" s="88"/>
      <c r="F11" s="88"/>
    </row>
    <row r="12" spans="1:6" ht="21" customHeight="1">
      <c r="A12" s="85"/>
      <c r="B12" s="93" t="s">
        <v>62</v>
      </c>
      <c r="C12" s="92"/>
      <c r="D12" s="88"/>
      <c r="E12" s="88"/>
      <c r="F12" s="88"/>
    </row>
    <row r="13" spans="1:6" ht="21" customHeight="1">
      <c r="A13" s="85" t="s">
        <v>59</v>
      </c>
      <c r="B13" s="309" t="s">
        <v>174</v>
      </c>
      <c r="C13" s="309"/>
      <c r="D13" s="309"/>
      <c r="E13" s="309"/>
      <c r="F13" s="309"/>
    </row>
    <row r="14" spans="1:6" ht="21" customHeight="1">
      <c r="A14" s="88"/>
      <c r="B14" s="91" t="s">
        <v>94</v>
      </c>
      <c r="C14" s="88"/>
      <c r="D14" s="88"/>
      <c r="E14" s="88"/>
      <c r="F14" s="88"/>
    </row>
    <row r="15" spans="1:6" ht="8.25" customHeight="1" thickBot="1">
      <c r="A15" s="36"/>
      <c r="B15" s="34"/>
      <c r="C15" s="34"/>
      <c r="D15" s="34"/>
      <c r="E15" s="34"/>
      <c r="F15" s="34"/>
    </row>
    <row r="16" spans="1:6" ht="21.75" thickTop="1">
      <c r="A16" s="305" t="s">
        <v>0</v>
      </c>
      <c r="B16" s="305" t="s">
        <v>1</v>
      </c>
      <c r="C16" s="26" t="s">
        <v>15</v>
      </c>
      <c r="D16" s="305" t="s">
        <v>10</v>
      </c>
      <c r="E16" s="26" t="s">
        <v>31</v>
      </c>
      <c r="F16" s="305" t="s">
        <v>5</v>
      </c>
    </row>
    <row r="17" spans="1:9">
      <c r="A17" s="306"/>
      <c r="B17" s="306"/>
      <c r="C17" s="27" t="s">
        <v>30</v>
      </c>
      <c r="D17" s="306"/>
      <c r="E17" s="27" t="s">
        <v>16</v>
      </c>
      <c r="F17" s="307"/>
    </row>
    <row r="18" spans="1:9">
      <c r="A18" s="1">
        <v>1</v>
      </c>
      <c r="B18" s="28" t="s">
        <v>29</v>
      </c>
      <c r="C18" s="3">
        <f>'ปร. 4(งานอาคาร)'!I101</f>
        <v>1225162.7906500001</v>
      </c>
      <c r="D18" s="4">
        <f>'Factor F '!D15</f>
        <v>1.3063</v>
      </c>
      <c r="E18" s="3">
        <f>C18*D18</f>
        <v>1600430.1534260951</v>
      </c>
      <c r="F18" s="31"/>
    </row>
    <row r="19" spans="1:9">
      <c r="A19" s="1"/>
      <c r="B19" s="28"/>
      <c r="C19" s="5"/>
      <c r="D19" s="6"/>
      <c r="E19" s="5"/>
      <c r="F19" s="32" t="s">
        <v>17</v>
      </c>
    </row>
    <row r="20" spans="1:9">
      <c r="A20" s="1"/>
      <c r="B20" s="28"/>
      <c r="C20" s="5"/>
      <c r="D20" s="6"/>
      <c r="E20" s="5"/>
      <c r="F20" s="33" t="s">
        <v>72</v>
      </c>
      <c r="H20" s="212">
        <v>1600000</v>
      </c>
    </row>
    <row r="21" spans="1:9">
      <c r="A21" s="1"/>
      <c r="B21" s="28"/>
      <c r="C21" s="5"/>
      <c r="D21" s="6"/>
      <c r="E21" s="5"/>
      <c r="F21" s="33" t="s">
        <v>27</v>
      </c>
      <c r="H21" s="211">
        <f>+H20-E26</f>
        <v>0</v>
      </c>
      <c r="I21" s="210"/>
    </row>
    <row r="22" spans="1:9">
      <c r="A22" s="1"/>
      <c r="B22" s="29"/>
      <c r="C22" s="5"/>
      <c r="D22" s="6"/>
      <c r="E22" s="5"/>
      <c r="F22" s="33" t="s">
        <v>73</v>
      </c>
    </row>
    <row r="23" spans="1:9">
      <c r="A23" s="1"/>
      <c r="B23" s="30"/>
      <c r="C23" s="5"/>
      <c r="D23" s="6"/>
      <c r="E23" s="5"/>
      <c r="F23" s="33" t="s">
        <v>71</v>
      </c>
    </row>
    <row r="24" spans="1:9">
      <c r="A24" s="8"/>
      <c r="B24" s="11"/>
      <c r="C24" s="9"/>
      <c r="D24" s="10"/>
      <c r="E24" s="9"/>
      <c r="F24" s="11"/>
    </row>
    <row r="25" spans="1:9">
      <c r="A25" s="313" t="s">
        <v>18</v>
      </c>
      <c r="B25" s="12" t="s">
        <v>19</v>
      </c>
      <c r="C25" s="13"/>
      <c r="D25" s="14"/>
      <c r="E25" s="15">
        <f>SUM(E18:E24)</f>
        <v>1600430.1534260951</v>
      </c>
      <c r="F25" s="7"/>
    </row>
    <row r="26" spans="1:9">
      <c r="A26" s="314"/>
      <c r="B26" s="12" t="s">
        <v>20</v>
      </c>
      <c r="C26" s="13"/>
      <c r="D26" s="16"/>
      <c r="E26" s="40">
        <f>ROUNDDOWN(E25,-3)</f>
        <v>1600000</v>
      </c>
      <c r="F26" s="17"/>
      <c r="H26" s="210"/>
      <c r="I26" s="210"/>
    </row>
    <row r="27" spans="1:9">
      <c r="A27" s="315"/>
      <c r="B27" s="12" t="s">
        <v>21</v>
      </c>
      <c r="C27" s="13" t="str">
        <f>BAHTTEXT(E26)</f>
        <v>หนึ่งล้านหกแสนบาทถ้วน</v>
      </c>
      <c r="D27" s="13"/>
      <c r="E27" s="13"/>
      <c r="F27" s="14"/>
    </row>
    <row r="28" spans="1:9" ht="8.25" customHeight="1">
      <c r="A28" s="58"/>
      <c r="B28" s="59"/>
      <c r="C28" s="59"/>
      <c r="D28" s="59"/>
      <c r="E28" s="59"/>
      <c r="F28" s="59"/>
    </row>
    <row r="29" spans="1:9" ht="21" customHeight="1">
      <c r="A29" s="318" t="s">
        <v>178</v>
      </c>
      <c r="B29" s="318"/>
      <c r="C29" s="318"/>
      <c r="D29" s="318"/>
      <c r="E29" s="318"/>
      <c r="F29" s="318"/>
    </row>
    <row r="30" spans="1:9" ht="19.5" customHeight="1">
      <c r="A30" s="317" t="s">
        <v>123</v>
      </c>
      <c r="B30" s="317"/>
      <c r="C30" s="317"/>
      <c r="D30" s="317"/>
      <c r="E30" s="317"/>
      <c r="F30" s="317"/>
    </row>
    <row r="31" spans="1:9" ht="9.75" customHeight="1">
      <c r="A31" s="37"/>
      <c r="B31" s="19"/>
      <c r="C31" s="19"/>
      <c r="D31" s="19"/>
      <c r="E31" s="19"/>
      <c r="F31" s="19"/>
    </row>
    <row r="32" spans="1:9" ht="9.75" customHeight="1">
      <c r="A32" s="37"/>
      <c r="B32" s="19"/>
      <c r="C32" s="19"/>
      <c r="D32" s="19"/>
      <c r="E32" s="19"/>
      <c r="F32" s="19"/>
    </row>
    <row r="33" spans="1:10">
      <c r="A33" s="35"/>
      <c r="B33" s="35"/>
      <c r="C33" s="39" t="s">
        <v>65</v>
      </c>
      <c r="D33" s="61" t="s">
        <v>57</v>
      </c>
      <c r="E33" s="61"/>
      <c r="F33" s="46" t="s">
        <v>66</v>
      </c>
      <c r="G33" s="42"/>
      <c r="H33" s="42"/>
      <c r="I33" s="42"/>
      <c r="J33" s="42"/>
    </row>
    <row r="34" spans="1:10">
      <c r="A34" s="38"/>
      <c r="B34" s="47"/>
      <c r="C34" s="19"/>
      <c r="D34" s="78" t="s">
        <v>170</v>
      </c>
      <c r="E34" s="44"/>
      <c r="F34" s="44"/>
      <c r="G34" s="44"/>
      <c r="H34" s="44"/>
      <c r="I34" s="44"/>
      <c r="J34" s="44"/>
    </row>
    <row r="35" spans="1:10">
      <c r="A35" s="38"/>
      <c r="B35" s="45"/>
      <c r="C35" s="19"/>
      <c r="D35" s="77" t="s">
        <v>83</v>
      </c>
      <c r="E35" s="43"/>
      <c r="F35" s="43"/>
      <c r="G35" s="43"/>
      <c r="H35" s="43"/>
      <c r="I35" s="43"/>
      <c r="J35" s="43"/>
    </row>
    <row r="36" spans="1:10" ht="15" customHeight="1">
      <c r="A36" s="38"/>
      <c r="B36" s="19"/>
      <c r="C36" s="19"/>
      <c r="D36" s="316"/>
      <c r="E36" s="316"/>
      <c r="F36" s="42"/>
      <c r="G36" s="42"/>
      <c r="H36" s="42"/>
      <c r="I36" s="42"/>
      <c r="J36" s="42"/>
    </row>
    <row r="37" spans="1:10" ht="21" customHeight="1">
      <c r="A37" s="38"/>
      <c r="B37" s="19"/>
      <c r="C37" s="39" t="s">
        <v>65</v>
      </c>
      <c r="D37" s="61" t="s">
        <v>57</v>
      </c>
      <c r="E37" s="61"/>
      <c r="F37" s="46" t="s">
        <v>67</v>
      </c>
      <c r="G37" s="42"/>
      <c r="H37" s="42"/>
      <c r="I37" s="42"/>
      <c r="J37" s="42"/>
    </row>
    <row r="38" spans="1:10" ht="21" customHeight="1">
      <c r="A38" s="38"/>
      <c r="B38" s="19"/>
      <c r="C38" s="19"/>
      <c r="D38" s="78" t="s">
        <v>78</v>
      </c>
      <c r="E38" s="44"/>
      <c r="F38" s="42"/>
      <c r="G38" s="42"/>
      <c r="H38" s="42"/>
      <c r="I38" s="42"/>
      <c r="J38" s="42"/>
    </row>
    <row r="39" spans="1:10" ht="21" customHeight="1">
      <c r="A39" s="38"/>
      <c r="B39" s="19"/>
      <c r="C39" s="19"/>
      <c r="D39" s="77" t="s">
        <v>79</v>
      </c>
      <c r="E39" s="43"/>
      <c r="F39" s="42"/>
      <c r="G39" s="42"/>
      <c r="H39" s="42"/>
      <c r="I39" s="42"/>
      <c r="J39" s="42"/>
    </row>
    <row r="40" spans="1:10" ht="14.25" customHeight="1">
      <c r="A40" s="38"/>
      <c r="B40" s="19"/>
      <c r="C40" s="19"/>
      <c r="D40" s="131"/>
      <c r="E40" s="131"/>
      <c r="F40" s="42"/>
      <c r="G40" s="42"/>
      <c r="H40" s="42"/>
      <c r="I40" s="42"/>
      <c r="J40" s="42"/>
    </row>
    <row r="41" spans="1:10" ht="21" customHeight="1">
      <c r="A41" s="38"/>
      <c r="B41" s="19"/>
      <c r="C41" s="39" t="s">
        <v>65</v>
      </c>
      <c r="D41" s="61" t="s">
        <v>57</v>
      </c>
      <c r="E41" s="61"/>
      <c r="F41" s="46" t="s">
        <v>67</v>
      </c>
      <c r="G41" s="42"/>
      <c r="H41" s="42"/>
      <c r="I41" s="42"/>
      <c r="J41" s="42"/>
    </row>
    <row r="42" spans="1:10" ht="21" customHeight="1">
      <c r="A42" s="38"/>
      <c r="B42" s="19"/>
      <c r="C42" s="19"/>
      <c r="D42" s="78" t="s">
        <v>81</v>
      </c>
      <c r="E42" s="44"/>
      <c r="F42" s="42"/>
      <c r="G42" s="42"/>
      <c r="H42" s="42"/>
      <c r="I42" s="42"/>
      <c r="J42" s="42"/>
    </row>
    <row r="43" spans="1:10" ht="21" customHeight="1">
      <c r="A43" s="38"/>
      <c r="B43" s="19"/>
      <c r="C43" s="19"/>
      <c r="D43" s="77" t="s">
        <v>82</v>
      </c>
      <c r="E43" s="43"/>
      <c r="F43" s="42"/>
      <c r="G43" s="42"/>
      <c r="H43" s="42"/>
      <c r="I43" s="42"/>
      <c r="J43" s="42"/>
    </row>
    <row r="44" spans="1:10" ht="14.25" customHeight="1">
      <c r="A44" s="38"/>
      <c r="B44" s="19"/>
      <c r="C44" s="19"/>
      <c r="D44" s="131"/>
      <c r="E44" s="131"/>
      <c r="F44" s="42"/>
      <c r="G44" s="42"/>
      <c r="H44" s="42"/>
      <c r="I44" s="42"/>
      <c r="J44" s="42"/>
    </row>
    <row r="45" spans="1:10" ht="21" customHeight="1">
      <c r="A45" s="38"/>
      <c r="B45" s="19"/>
      <c r="C45" s="39" t="s">
        <v>65</v>
      </c>
      <c r="D45" s="61" t="s">
        <v>57</v>
      </c>
      <c r="E45" s="61"/>
      <c r="F45" s="46" t="s">
        <v>67</v>
      </c>
      <c r="G45" s="42"/>
      <c r="H45" s="42"/>
      <c r="I45" s="42"/>
      <c r="J45" s="42"/>
    </row>
    <row r="46" spans="1:10" ht="21" customHeight="1">
      <c r="A46" s="38"/>
      <c r="B46" s="19"/>
      <c r="C46" s="19"/>
      <c r="D46" s="75" t="s">
        <v>77</v>
      </c>
      <c r="E46" s="44"/>
      <c r="F46" s="42"/>
      <c r="G46" s="42"/>
      <c r="H46" s="42"/>
      <c r="I46" s="42"/>
      <c r="J46" s="42"/>
    </row>
    <row r="47" spans="1:10" ht="21" customHeight="1">
      <c r="A47" s="38"/>
      <c r="B47" s="19"/>
      <c r="C47" s="19"/>
      <c r="D47" s="77" t="s">
        <v>80</v>
      </c>
      <c r="E47" s="43"/>
      <c r="F47" s="42"/>
      <c r="G47" s="42"/>
      <c r="H47" s="42"/>
      <c r="I47" s="42"/>
      <c r="J47" s="42"/>
    </row>
    <row r="48" spans="1:10" ht="15" customHeight="1">
      <c r="A48" s="38"/>
      <c r="B48" s="19"/>
      <c r="C48" s="19"/>
      <c r="D48" s="76"/>
      <c r="E48" s="76"/>
      <c r="F48" s="42"/>
      <c r="G48" s="42"/>
      <c r="H48" s="42"/>
      <c r="I48" s="42"/>
      <c r="J48" s="42"/>
    </row>
    <row r="49" spans="1:10">
      <c r="A49" s="19"/>
      <c r="B49" s="39"/>
      <c r="C49" s="39" t="s">
        <v>65</v>
      </c>
      <c r="D49" s="312" t="s">
        <v>57</v>
      </c>
      <c r="E49" s="312"/>
      <c r="F49" s="46" t="s">
        <v>91</v>
      </c>
      <c r="G49" s="61"/>
      <c r="H49" s="61"/>
      <c r="I49" s="61"/>
      <c r="J49" s="61"/>
    </row>
    <row r="50" spans="1:10">
      <c r="A50" s="19"/>
      <c r="B50" s="39"/>
      <c r="C50" s="19"/>
      <c r="D50" s="47" t="s">
        <v>171</v>
      </c>
      <c r="E50" s="47"/>
      <c r="F50" s="47"/>
      <c r="G50" s="47"/>
      <c r="H50" s="47"/>
      <c r="I50" s="47"/>
      <c r="J50" s="47"/>
    </row>
    <row r="51" spans="1:10">
      <c r="A51" s="19"/>
      <c r="B51" s="19"/>
      <c r="C51" s="19"/>
      <c r="D51" s="311" t="s">
        <v>172</v>
      </c>
      <c r="E51" s="311"/>
      <c r="F51" s="311"/>
      <c r="G51" s="311"/>
      <c r="H51" s="311"/>
      <c r="I51" s="311"/>
      <c r="J51" s="311"/>
    </row>
    <row r="52" spans="1:10">
      <c r="C52" s="18"/>
    </row>
    <row r="83" spans="2:5">
      <c r="E83" s="129">
        <v>356</v>
      </c>
    </row>
    <row r="84" spans="2:5">
      <c r="E84" s="129"/>
    </row>
    <row r="85" spans="2:5">
      <c r="E85" s="129">
        <v>356</v>
      </c>
    </row>
    <row r="88" spans="2:5">
      <c r="B88" s="2" t="s">
        <v>24</v>
      </c>
    </row>
    <row r="124" spans="2:7">
      <c r="B124" s="2" t="s">
        <v>25</v>
      </c>
      <c r="E124" s="129">
        <v>91</v>
      </c>
      <c r="G124" s="2" t="s">
        <v>74</v>
      </c>
    </row>
    <row r="125" spans="2:7">
      <c r="B125" s="2" t="s">
        <v>75</v>
      </c>
      <c r="E125" s="129">
        <v>62</v>
      </c>
    </row>
    <row r="126" spans="2:7">
      <c r="E126" s="129">
        <v>62</v>
      </c>
    </row>
    <row r="127" spans="2:7">
      <c r="E127" s="129">
        <v>62</v>
      </c>
    </row>
    <row r="128" spans="2:7">
      <c r="E128" s="129">
        <v>91</v>
      </c>
    </row>
    <row r="153" spans="5:7">
      <c r="E153" s="2">
        <v>360</v>
      </c>
      <c r="G153" s="2" t="e">
        <f>360-#REF!</f>
        <v>#REF!</v>
      </c>
    </row>
  </sheetData>
  <mergeCells count="16">
    <mergeCell ref="D51:J51"/>
    <mergeCell ref="D49:E49"/>
    <mergeCell ref="A25:A27"/>
    <mergeCell ref="D36:E36"/>
    <mergeCell ref="A30:F30"/>
    <mergeCell ref="A29:F29"/>
    <mergeCell ref="E1:F1"/>
    <mergeCell ref="A2:F2"/>
    <mergeCell ref="A16:A17"/>
    <mergeCell ref="B16:B17"/>
    <mergeCell ref="F16:F17"/>
    <mergeCell ref="D16:D17"/>
    <mergeCell ref="A3:F3"/>
    <mergeCell ref="B10:F10"/>
    <mergeCell ref="B13:F13"/>
    <mergeCell ref="C8:D8"/>
  </mergeCells>
  <pageMargins left="0.39370078740157483" right="0.15748031496062992" top="0.31496062992125984" bottom="0.19685039370078741" header="0.15748031496062992" footer="0.15748031496062992"/>
  <pageSetup paperSize="9" scale="8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F101"/>
  <sheetViews>
    <sheetView tabSelected="1" zoomScaleNormal="100" zoomScaleSheetLayoutView="99" zoomScalePageLayoutView="110" workbookViewId="0">
      <selection activeCell="C10" sqref="C10"/>
    </sheetView>
  </sheetViews>
  <sheetFormatPr defaultColWidth="9.140625" defaultRowHeight="21" customHeight="1"/>
  <cols>
    <col min="1" max="1" width="6.28515625" style="71" customWidth="1"/>
    <col min="2" max="2" width="55.28515625" style="66" customWidth="1"/>
    <col min="3" max="3" width="10.140625" style="72" customWidth="1"/>
    <col min="4" max="4" width="8.5703125" style="66" customWidth="1"/>
    <col min="5" max="5" width="11.140625" style="68" customWidth="1"/>
    <col min="6" max="6" width="12.7109375" style="72" customWidth="1"/>
    <col min="7" max="7" width="12.140625" style="72" bestFit="1" customWidth="1"/>
    <col min="8" max="8" width="12.7109375" style="72" customWidth="1"/>
    <col min="9" max="9" width="14.140625" style="72" customWidth="1"/>
    <col min="10" max="10" width="12.7109375" style="73" bestFit="1" customWidth="1"/>
    <col min="11" max="11" width="18.28515625" style="66" customWidth="1"/>
    <col min="12" max="12" width="24.85546875" style="66" customWidth="1"/>
    <col min="13" max="13" width="17.5703125" style="66" customWidth="1"/>
    <col min="14" max="14" width="18.7109375" style="140" customWidth="1"/>
    <col min="15" max="15" width="9.140625" style="66"/>
    <col min="16" max="16" width="21.7109375" style="140" customWidth="1"/>
    <col min="17" max="17" width="10" style="66" bestFit="1" customWidth="1"/>
    <col min="18" max="18" width="15.5703125" style="66" customWidth="1"/>
    <col min="19" max="16384" width="9.140625" style="66"/>
  </cols>
  <sheetData>
    <row r="1" spans="1:110" s="64" customFormat="1" ht="19.5">
      <c r="A1" s="320" t="s">
        <v>125</v>
      </c>
      <c r="B1" s="320"/>
      <c r="C1" s="320"/>
      <c r="D1" s="62"/>
      <c r="E1" s="62"/>
      <c r="F1" s="62"/>
      <c r="G1" s="62"/>
      <c r="H1" s="319"/>
      <c r="I1" s="319"/>
      <c r="J1" s="319"/>
      <c r="K1" s="63"/>
      <c r="L1" s="63"/>
      <c r="M1" s="63"/>
      <c r="N1" s="139"/>
      <c r="O1" s="63"/>
      <c r="P1" s="139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</row>
    <row r="2" spans="1:110" s="65" customFormat="1" ht="19.5">
      <c r="A2" s="94" t="s">
        <v>89</v>
      </c>
      <c r="B2" s="94"/>
      <c r="C2" s="94"/>
      <c r="D2" s="62"/>
      <c r="E2" s="62"/>
      <c r="F2" s="62"/>
      <c r="G2" s="62"/>
      <c r="H2" s="319"/>
      <c r="I2" s="319"/>
      <c r="J2" s="319"/>
      <c r="N2" s="128"/>
      <c r="P2" s="128"/>
    </row>
    <row r="3" spans="1:110" s="65" customFormat="1" ht="19.5">
      <c r="A3" s="74" t="s">
        <v>87</v>
      </c>
      <c r="B3" s="74"/>
      <c r="C3" s="74"/>
      <c r="D3" s="62"/>
      <c r="E3" s="62"/>
      <c r="F3" s="62"/>
      <c r="G3" s="62"/>
      <c r="H3" s="321" t="s">
        <v>93</v>
      </c>
      <c r="I3" s="321"/>
      <c r="J3" s="321"/>
      <c r="N3" s="128"/>
      <c r="P3" s="128"/>
    </row>
    <row r="4" spans="1:110" ht="21" customHeight="1">
      <c r="A4" s="323" t="s">
        <v>0</v>
      </c>
      <c r="B4" s="324" t="s">
        <v>1</v>
      </c>
      <c r="C4" s="325" t="s">
        <v>2</v>
      </c>
      <c r="D4" s="324" t="s">
        <v>3</v>
      </c>
      <c r="E4" s="325" t="s">
        <v>12</v>
      </c>
      <c r="F4" s="325"/>
      <c r="G4" s="325" t="s">
        <v>4</v>
      </c>
      <c r="H4" s="325"/>
      <c r="I4" s="22" t="s">
        <v>14</v>
      </c>
      <c r="J4" s="322" t="s">
        <v>5</v>
      </c>
    </row>
    <row r="5" spans="1:110" ht="21" customHeight="1">
      <c r="A5" s="323"/>
      <c r="B5" s="324"/>
      <c r="C5" s="325"/>
      <c r="D5" s="324"/>
      <c r="E5" s="60" t="s">
        <v>13</v>
      </c>
      <c r="F5" s="60" t="s">
        <v>6</v>
      </c>
      <c r="G5" s="60" t="s">
        <v>13</v>
      </c>
      <c r="H5" s="60" t="s">
        <v>6</v>
      </c>
      <c r="I5" s="23" t="s">
        <v>11</v>
      </c>
      <c r="J5" s="322"/>
    </row>
    <row r="6" spans="1:110" ht="21" customHeight="1">
      <c r="A6" s="166"/>
      <c r="B6" s="170" t="s">
        <v>191</v>
      </c>
      <c r="C6" s="168"/>
      <c r="D6" s="167"/>
      <c r="E6" s="168"/>
      <c r="F6" s="168"/>
      <c r="G6" s="168"/>
      <c r="H6" s="168"/>
      <c r="I6" s="168"/>
      <c r="J6" s="169"/>
    </row>
    <row r="7" spans="1:110" ht="21" customHeight="1">
      <c r="A7" s="143">
        <v>1</v>
      </c>
      <c r="B7" s="141" t="s">
        <v>101</v>
      </c>
      <c r="C7" s="142"/>
      <c r="D7" s="143"/>
      <c r="E7" s="144"/>
      <c r="F7" s="24"/>
      <c r="G7" s="144"/>
      <c r="H7" s="24"/>
      <c r="I7" s="24"/>
      <c r="J7" s="145"/>
    </row>
    <row r="8" spans="1:110" ht="21" customHeight="1">
      <c r="A8" s="146"/>
      <c r="B8" s="147" t="s">
        <v>95</v>
      </c>
      <c r="C8" s="220">
        <v>20.68</v>
      </c>
      <c r="D8" s="221" t="s">
        <v>96</v>
      </c>
      <c r="E8" s="222">
        <v>0</v>
      </c>
      <c r="F8" s="222">
        <v>0</v>
      </c>
      <c r="G8" s="222">
        <v>600</v>
      </c>
      <c r="H8" s="203">
        <f>SUM(C8*G8)</f>
        <v>12408</v>
      </c>
      <c r="I8" s="24">
        <f t="shared" ref="I8" si="0">SUM(H8+F8)</f>
        <v>12408</v>
      </c>
      <c r="J8" s="150" t="s">
        <v>100</v>
      </c>
    </row>
    <row r="9" spans="1:110" ht="21" customHeight="1">
      <c r="A9" s="146"/>
      <c r="B9" s="147" t="s">
        <v>97</v>
      </c>
      <c r="C9" s="148">
        <v>678</v>
      </c>
      <c r="D9" s="149" t="s">
        <v>8</v>
      </c>
      <c r="E9" s="219">
        <v>0</v>
      </c>
      <c r="F9" s="219">
        <v>0</v>
      </c>
      <c r="G9" s="219">
        <v>40</v>
      </c>
      <c r="H9" s="219">
        <f t="shared" ref="H9:H12" si="1">C9*G9</f>
        <v>27120</v>
      </c>
      <c r="I9" s="219">
        <f t="shared" ref="I9:I12" si="2">F9+H9</f>
        <v>27120</v>
      </c>
      <c r="J9" s="150" t="s">
        <v>100</v>
      </c>
    </row>
    <row r="10" spans="1:110" ht="21" customHeight="1">
      <c r="A10" s="258"/>
      <c r="B10" s="255" t="s">
        <v>98</v>
      </c>
      <c r="C10" s="201">
        <v>1</v>
      </c>
      <c r="D10" s="268" t="s">
        <v>28</v>
      </c>
      <c r="E10" s="203">
        <v>0</v>
      </c>
      <c r="F10" s="203">
        <v>0</v>
      </c>
      <c r="G10" s="203">
        <v>1000</v>
      </c>
      <c r="H10" s="203">
        <f t="shared" si="1"/>
        <v>1000</v>
      </c>
      <c r="I10" s="203">
        <f t="shared" si="2"/>
        <v>1000</v>
      </c>
      <c r="J10" s="202" t="s">
        <v>84</v>
      </c>
    </row>
    <row r="11" spans="1:110" ht="21" customHeight="1">
      <c r="A11" s="258"/>
      <c r="B11" s="269" t="s">
        <v>99</v>
      </c>
      <c r="C11" s="201">
        <v>1</v>
      </c>
      <c r="D11" s="268" t="s">
        <v>28</v>
      </c>
      <c r="E11" s="203">
        <v>0</v>
      </c>
      <c r="F11" s="203">
        <v>0</v>
      </c>
      <c r="G11" s="203">
        <v>3000</v>
      </c>
      <c r="H11" s="203">
        <f t="shared" si="1"/>
        <v>3000</v>
      </c>
      <c r="I11" s="203">
        <f t="shared" si="2"/>
        <v>3000</v>
      </c>
      <c r="J11" s="202"/>
    </row>
    <row r="12" spans="1:110" ht="21" customHeight="1">
      <c r="A12" s="206"/>
      <c r="B12" s="270" t="s">
        <v>177</v>
      </c>
      <c r="C12" s="271">
        <v>90</v>
      </c>
      <c r="D12" s="20" t="s">
        <v>26</v>
      </c>
      <c r="E12" s="203">
        <v>250</v>
      </c>
      <c r="F12" s="157">
        <f t="shared" ref="F12" si="3">SUM(E12*C12)</f>
        <v>22500</v>
      </c>
      <c r="G12" s="203">
        <v>300</v>
      </c>
      <c r="H12" s="203">
        <f t="shared" si="1"/>
        <v>27000</v>
      </c>
      <c r="I12" s="272">
        <f t="shared" si="2"/>
        <v>49500</v>
      </c>
      <c r="J12" s="20"/>
      <c r="L12" s="68"/>
      <c r="Q12" s="68"/>
      <c r="R12" s="68"/>
    </row>
    <row r="13" spans="1:110" ht="21" customHeight="1">
      <c r="A13" s="273"/>
      <c r="B13" s="270" t="s">
        <v>105</v>
      </c>
      <c r="C13" s="271">
        <v>1</v>
      </c>
      <c r="D13" s="20" t="s">
        <v>23</v>
      </c>
      <c r="E13" s="203">
        <v>0</v>
      </c>
      <c r="F13" s="157">
        <f t="shared" ref="F13" si="4">SUM(E13*C13)</f>
        <v>0</v>
      </c>
      <c r="G13" s="203">
        <v>10000</v>
      </c>
      <c r="H13" s="203">
        <f t="shared" ref="H13" si="5">C13*G13</f>
        <v>10000</v>
      </c>
      <c r="I13" s="272">
        <f t="shared" ref="I13" si="6">F13+H13</f>
        <v>10000</v>
      </c>
      <c r="J13" s="194"/>
      <c r="L13" s="68"/>
      <c r="Q13" s="68"/>
      <c r="R13" s="68"/>
    </row>
    <row r="14" spans="1:110" ht="21" customHeight="1" thickBot="1">
      <c r="A14" s="133"/>
      <c r="B14" s="134" t="s">
        <v>85</v>
      </c>
      <c r="C14" s="135"/>
      <c r="D14" s="134"/>
      <c r="E14" s="135"/>
      <c r="F14" s="135"/>
      <c r="G14" s="135"/>
      <c r="H14" s="135"/>
      <c r="I14" s="191">
        <f>SUM(I7:I13)</f>
        <v>103028</v>
      </c>
      <c r="J14" s="132"/>
      <c r="L14" s="68"/>
      <c r="M14" s="68"/>
      <c r="O14" s="68"/>
    </row>
    <row r="15" spans="1:110" s="67" customFormat="1" ht="19.5" thickTop="1">
      <c r="A15" s="143">
        <v>2</v>
      </c>
      <c r="B15" s="153" t="s">
        <v>102</v>
      </c>
      <c r="C15" s="151"/>
      <c r="D15" s="154"/>
      <c r="E15" s="155"/>
      <c r="F15" s="155"/>
      <c r="G15" s="155"/>
      <c r="H15" s="155"/>
      <c r="I15" s="155"/>
      <c r="J15" s="152"/>
      <c r="K15" s="66"/>
      <c r="L15" s="68"/>
      <c r="M15" s="66"/>
      <c r="N15" s="140"/>
      <c r="O15" s="66"/>
      <c r="P15" s="68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</row>
    <row r="16" spans="1:110" s="67" customFormat="1" ht="18.75">
      <c r="A16" s="143"/>
      <c r="B16" s="153" t="s">
        <v>103</v>
      </c>
      <c r="C16" s="151"/>
      <c r="D16" s="154"/>
      <c r="E16" s="155"/>
      <c r="F16" s="155"/>
      <c r="G16" s="155"/>
      <c r="H16" s="155"/>
      <c r="I16" s="155"/>
      <c r="J16" s="152"/>
      <c r="K16" s="66"/>
      <c r="L16" s="68"/>
      <c r="M16" s="66"/>
      <c r="N16" s="140"/>
      <c r="O16" s="66"/>
      <c r="P16" s="68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</row>
    <row r="17" spans="1:110" s="67" customFormat="1" ht="18.75">
      <c r="A17" s="20"/>
      <c r="B17" s="25" t="s">
        <v>104</v>
      </c>
      <c r="C17" s="156">
        <v>0.96</v>
      </c>
      <c r="D17" s="221" t="s">
        <v>96</v>
      </c>
      <c r="E17" s="157">
        <v>0</v>
      </c>
      <c r="F17" s="157">
        <f t="shared" ref="F17:F20" si="7">SUM(E17*C17)</f>
        <v>0</v>
      </c>
      <c r="G17" s="24">
        <v>142</v>
      </c>
      <c r="H17" s="24">
        <f t="shared" ref="H17:H20" si="8">C17*G17</f>
        <v>136.32</v>
      </c>
      <c r="I17" s="24">
        <f t="shared" ref="I17:I20" si="9">F17+H17</f>
        <v>136.32</v>
      </c>
      <c r="J17" s="21"/>
      <c r="K17" s="223" t="s">
        <v>106</v>
      </c>
      <c r="L17" s="223" t="s">
        <v>179</v>
      </c>
      <c r="M17" s="66"/>
      <c r="N17" s="140"/>
      <c r="O17" s="66"/>
      <c r="P17" s="140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</row>
    <row r="18" spans="1:110" s="67" customFormat="1" ht="18.75">
      <c r="A18" s="20"/>
      <c r="B18" s="25" t="s">
        <v>107</v>
      </c>
      <c r="C18" s="156">
        <v>0.12</v>
      </c>
      <c r="D18" s="221" t="s">
        <v>96</v>
      </c>
      <c r="E18" s="157">
        <v>523.37</v>
      </c>
      <c r="F18" s="157">
        <f>SUM(E18*C18)</f>
        <v>62.804400000000001</v>
      </c>
      <c r="G18" s="24">
        <v>104</v>
      </c>
      <c r="H18" s="24">
        <f>C18*G18</f>
        <v>12.48</v>
      </c>
      <c r="I18" s="24">
        <f>F18+H18</f>
        <v>75.284400000000005</v>
      </c>
      <c r="J18" s="21"/>
      <c r="K18" s="223" t="s">
        <v>108</v>
      </c>
      <c r="L18" s="223" t="s">
        <v>180</v>
      </c>
      <c r="M18" s="224" t="s">
        <v>181</v>
      </c>
      <c r="N18" s="140"/>
      <c r="O18" s="66"/>
      <c r="P18" s="140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</row>
    <row r="19" spans="1:110" s="67" customFormat="1" ht="18.75">
      <c r="A19" s="20"/>
      <c r="B19" s="25" t="s">
        <v>109</v>
      </c>
      <c r="C19" s="156">
        <v>0.03</v>
      </c>
      <c r="D19" s="221" t="s">
        <v>96</v>
      </c>
      <c r="E19" s="157">
        <v>1859.81</v>
      </c>
      <c r="F19" s="157">
        <f t="shared" si="7"/>
        <v>55.7943</v>
      </c>
      <c r="G19" s="24">
        <v>327</v>
      </c>
      <c r="H19" s="24">
        <f t="shared" si="8"/>
        <v>9.81</v>
      </c>
      <c r="I19" s="24">
        <f t="shared" si="9"/>
        <v>65.604299999999995</v>
      </c>
      <c r="J19" s="159"/>
      <c r="K19" s="224" t="s">
        <v>181</v>
      </c>
      <c r="L19" s="223" t="s">
        <v>179</v>
      </c>
      <c r="M19" s="66"/>
      <c r="N19" s="140"/>
      <c r="O19" s="66"/>
      <c r="P19" s="140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</row>
    <row r="20" spans="1:110" s="67" customFormat="1" ht="18.75">
      <c r="A20" s="20"/>
      <c r="B20" s="25" t="s">
        <v>110</v>
      </c>
      <c r="C20" s="156">
        <v>0.46</v>
      </c>
      <c r="D20" s="221" t="s">
        <v>96</v>
      </c>
      <c r="E20" s="157">
        <v>1962.62</v>
      </c>
      <c r="F20" s="157">
        <f t="shared" si="7"/>
        <v>902.80520000000001</v>
      </c>
      <c r="G20" s="24">
        <v>327</v>
      </c>
      <c r="H20" s="24">
        <f t="shared" si="8"/>
        <v>150.42000000000002</v>
      </c>
      <c r="I20" s="24">
        <f t="shared" si="9"/>
        <v>1053.2252000000001</v>
      </c>
      <c r="J20" s="159"/>
      <c r="K20" s="224" t="s">
        <v>181</v>
      </c>
      <c r="L20" s="223" t="s">
        <v>180</v>
      </c>
      <c r="M20" s="66"/>
      <c r="N20" s="140"/>
      <c r="O20" s="66"/>
      <c r="P20" s="140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</row>
    <row r="21" spans="1:110" s="67" customFormat="1" ht="18.75">
      <c r="A21" s="20"/>
      <c r="B21" s="25" t="s">
        <v>111</v>
      </c>
      <c r="C21" s="156"/>
      <c r="D21" s="221"/>
      <c r="E21" s="157"/>
      <c r="F21" s="157"/>
      <c r="G21" s="24"/>
      <c r="H21" s="24"/>
      <c r="I21" s="24"/>
      <c r="J21" s="159"/>
      <c r="K21" s="224"/>
      <c r="L21" s="223"/>
      <c r="M21" s="66"/>
      <c r="N21" s="140"/>
      <c r="O21" s="66"/>
      <c r="P21" s="140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</row>
    <row r="22" spans="1:110" s="67" customFormat="1" ht="21.75">
      <c r="A22" s="20"/>
      <c r="B22" s="225" t="s">
        <v>115</v>
      </c>
      <c r="C22" s="226">
        <v>8.2799999999999994</v>
      </c>
      <c r="D22" s="227" t="s">
        <v>7</v>
      </c>
      <c r="E22" s="228">
        <v>23.14</v>
      </c>
      <c r="F22" s="229">
        <f t="shared" ref="F22" si="10">ROUNDDOWN(C22*E22,2)</f>
        <v>191.59</v>
      </c>
      <c r="G22" s="229">
        <v>4.4000000000000004</v>
      </c>
      <c r="H22" s="229">
        <f t="shared" ref="H22" si="11">ROUNDDOWN(C22*G22,2)</f>
        <v>36.43</v>
      </c>
      <c r="I22" s="229">
        <f t="shared" ref="I22" si="12">ROUNDDOWN(F22+H22,2)</f>
        <v>228.02</v>
      </c>
      <c r="J22" s="159"/>
      <c r="K22" s="224" t="s">
        <v>181</v>
      </c>
      <c r="L22" s="223" t="s">
        <v>180</v>
      </c>
      <c r="M22" s="66"/>
      <c r="N22" s="140"/>
      <c r="O22" s="66"/>
      <c r="P22" s="140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</row>
    <row r="23" spans="1:110" s="67" customFormat="1" ht="21.75">
      <c r="A23" s="20"/>
      <c r="B23" s="225" t="s">
        <v>112</v>
      </c>
      <c r="C23" s="226">
        <v>3.21</v>
      </c>
      <c r="D23" s="227" t="s">
        <v>7</v>
      </c>
      <c r="E23" s="228">
        <v>22.37</v>
      </c>
      <c r="F23" s="229">
        <f t="shared" ref="F23" si="13">ROUNDDOWN(C23*E23,2)</f>
        <v>71.8</v>
      </c>
      <c r="G23" s="229">
        <v>4.4000000000000004</v>
      </c>
      <c r="H23" s="229">
        <f t="shared" ref="H23:H24" si="14">ROUNDDOWN(C23*G23,2)</f>
        <v>14.12</v>
      </c>
      <c r="I23" s="229">
        <f t="shared" ref="I23" si="15">ROUNDDOWN(F23+H23,2)</f>
        <v>85.92</v>
      </c>
      <c r="J23" s="159"/>
      <c r="K23" s="224" t="s">
        <v>181</v>
      </c>
      <c r="L23" s="223" t="s">
        <v>180</v>
      </c>
      <c r="M23" s="66"/>
      <c r="N23" s="140"/>
      <c r="O23" s="66"/>
      <c r="P23" s="140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</row>
    <row r="24" spans="1:110" s="67" customFormat="1" ht="21.75">
      <c r="A24" s="20"/>
      <c r="B24" s="225" t="s">
        <v>113</v>
      </c>
      <c r="C24" s="244">
        <v>40.74</v>
      </c>
      <c r="D24" s="227" t="s">
        <v>7</v>
      </c>
      <c r="E24" s="228">
        <v>21.88</v>
      </c>
      <c r="F24" s="229">
        <f>ROUNDDOWN(C24*E24,2)</f>
        <v>891.39</v>
      </c>
      <c r="G24" s="229">
        <v>3.6</v>
      </c>
      <c r="H24" s="229">
        <f t="shared" si="14"/>
        <v>146.66</v>
      </c>
      <c r="I24" s="229">
        <f>ROUNDDOWN(F24+H24,2)</f>
        <v>1038.05</v>
      </c>
      <c r="J24" s="159"/>
      <c r="K24" s="224" t="s">
        <v>181</v>
      </c>
      <c r="L24" s="223" t="s">
        <v>180</v>
      </c>
      <c r="M24" s="66"/>
      <c r="N24" s="140"/>
      <c r="O24" s="66"/>
      <c r="P24" s="140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</row>
    <row r="25" spans="1:110" s="67" customFormat="1" ht="18.75">
      <c r="A25" s="20"/>
      <c r="B25" s="225" t="s">
        <v>114</v>
      </c>
      <c r="C25" s="190">
        <f>0.03*(C23+C24+C22)</f>
        <v>1.5669</v>
      </c>
      <c r="D25" s="227" t="s">
        <v>7</v>
      </c>
      <c r="E25" s="226">
        <v>28.5</v>
      </c>
      <c r="F25" s="226">
        <f t="shared" ref="F25" si="16">C25*E25</f>
        <v>44.656649999999999</v>
      </c>
      <c r="G25" s="226">
        <v>0</v>
      </c>
      <c r="H25" s="226">
        <f t="shared" ref="H25" si="17">C25*G25</f>
        <v>0</v>
      </c>
      <c r="I25" s="226">
        <f t="shared" ref="I25" si="18">F25+H25</f>
        <v>44.656649999999999</v>
      </c>
      <c r="J25" s="159"/>
      <c r="K25" s="224" t="s">
        <v>181</v>
      </c>
      <c r="L25" s="223" t="s">
        <v>180</v>
      </c>
      <c r="M25" s="66"/>
      <c r="N25" s="140"/>
      <c r="O25" s="66"/>
      <c r="P25" s="140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</row>
    <row r="26" spans="1:110" s="67" customFormat="1" ht="18.75">
      <c r="A26" s="20"/>
      <c r="B26" s="25" t="s">
        <v>116</v>
      </c>
      <c r="C26" s="24"/>
      <c r="D26" s="220"/>
      <c r="E26" s="157"/>
      <c r="F26" s="157"/>
      <c r="G26" s="203"/>
      <c r="H26" s="203"/>
      <c r="I26" s="24"/>
      <c r="J26" s="159"/>
      <c r="K26" s="66"/>
      <c r="L26" s="66"/>
      <c r="M26" s="66"/>
      <c r="N26" s="140"/>
      <c r="O26" s="66"/>
      <c r="P26" s="140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</row>
    <row r="27" spans="1:110" s="67" customFormat="1" ht="18.75">
      <c r="A27" s="20"/>
      <c r="B27" s="25" t="s">
        <v>117</v>
      </c>
      <c r="C27" s="24">
        <f>0.8*C28</f>
        <v>4.032</v>
      </c>
      <c r="D27" s="220" t="s">
        <v>8</v>
      </c>
      <c r="E27" s="157">
        <v>330</v>
      </c>
      <c r="F27" s="157">
        <f>SUM(C27*E27)</f>
        <v>1330.56</v>
      </c>
      <c r="G27" s="203">
        <v>0</v>
      </c>
      <c r="H27" s="203">
        <f>SUM(C27*G27)</f>
        <v>0</v>
      </c>
      <c r="I27" s="24">
        <f>SUM(H27+F27)</f>
        <v>1330.56</v>
      </c>
      <c r="J27" s="159"/>
      <c r="K27" s="66"/>
      <c r="L27" s="66"/>
      <c r="M27" s="66"/>
      <c r="N27" s="140"/>
      <c r="O27" s="66"/>
      <c r="P27" s="140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</row>
    <row r="28" spans="1:110" s="67" customFormat="1" ht="18.75">
      <c r="A28" s="233"/>
      <c r="B28" s="25" t="s">
        <v>118</v>
      </c>
      <c r="C28" s="24">
        <v>5.04</v>
      </c>
      <c r="D28" s="220" t="s">
        <v>8</v>
      </c>
      <c r="E28" s="157">
        <v>0</v>
      </c>
      <c r="F28" s="157">
        <f>SUM(C28*E28)</f>
        <v>0</v>
      </c>
      <c r="G28" s="203">
        <v>139</v>
      </c>
      <c r="H28" s="203">
        <f>SUM(C28*G28)</f>
        <v>700.56000000000006</v>
      </c>
      <c r="I28" s="236">
        <f>SUM(H28+F28)</f>
        <v>700.56000000000006</v>
      </c>
      <c r="J28" s="159"/>
      <c r="K28" s="66"/>
      <c r="L28" s="66"/>
      <c r="M28" s="66"/>
      <c r="N28" s="140"/>
      <c r="O28" s="66"/>
      <c r="P28" s="140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</row>
    <row r="29" spans="1:110" s="67" customFormat="1" ht="18.75">
      <c r="A29" s="20"/>
      <c r="B29" s="25" t="s">
        <v>119</v>
      </c>
      <c r="C29" s="24">
        <f>C28*0.25</f>
        <v>1.26</v>
      </c>
      <c r="D29" s="220" t="s">
        <v>7</v>
      </c>
      <c r="E29" s="157">
        <v>59.35</v>
      </c>
      <c r="F29" s="157">
        <f>SUM(C29*E29)</f>
        <v>74.781000000000006</v>
      </c>
      <c r="G29" s="222">
        <v>0</v>
      </c>
      <c r="H29" s="203">
        <f t="shared" ref="H29" si="19">SUM(C29*G29)</f>
        <v>0</v>
      </c>
      <c r="I29" s="24">
        <f t="shared" ref="I29" si="20">SUM(H29+F29)</f>
        <v>74.781000000000006</v>
      </c>
      <c r="J29" s="159"/>
      <c r="K29" s="66"/>
      <c r="L29" s="66"/>
      <c r="M29" s="66"/>
      <c r="N29" s="140"/>
      <c r="O29" s="66"/>
      <c r="P29" s="140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</row>
    <row r="30" spans="1:110" s="67" customFormat="1" ht="18.75">
      <c r="A30" s="194"/>
      <c r="B30" s="179"/>
      <c r="C30" s="180"/>
      <c r="D30" s="181"/>
      <c r="E30" s="195"/>
      <c r="F30" s="195"/>
      <c r="G30" s="130"/>
      <c r="H30" s="130"/>
      <c r="I30" s="130"/>
      <c r="J30" s="196"/>
      <c r="K30" s="66"/>
      <c r="L30" s="197"/>
      <c r="M30" s="66"/>
      <c r="N30" s="140"/>
      <c r="O30" s="66"/>
      <c r="P30" s="140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</row>
    <row r="31" spans="1:110" s="67" customFormat="1" ht="18.75">
      <c r="A31" s="160"/>
      <c r="B31" s="237" t="s">
        <v>120</v>
      </c>
      <c r="C31" s="161"/>
      <c r="D31" s="162"/>
      <c r="E31" s="163"/>
      <c r="F31" s="163"/>
      <c r="G31" s="163"/>
      <c r="H31" s="163"/>
      <c r="I31" s="164">
        <f>SUM(I17:I29)</f>
        <v>4832.9815499999995</v>
      </c>
      <c r="J31" s="165"/>
      <c r="K31" s="66"/>
      <c r="L31" s="66"/>
      <c r="M31" s="66"/>
      <c r="N31" s="140"/>
      <c r="O31" s="66"/>
      <c r="P31" s="140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</row>
    <row r="32" spans="1:110" s="241" customFormat="1" ht="21" customHeight="1">
      <c r="A32" s="239"/>
      <c r="B32" s="240" t="s">
        <v>121</v>
      </c>
      <c r="C32" s="213"/>
      <c r="D32" s="239"/>
      <c r="E32" s="214"/>
      <c r="F32" s="214"/>
      <c r="G32" s="214"/>
      <c r="H32" s="214"/>
      <c r="I32" s="184">
        <f>I31*9</f>
        <v>43496.833949999993</v>
      </c>
      <c r="J32" s="242"/>
      <c r="K32" s="243"/>
    </row>
    <row r="33" spans="1:110" s="67" customFormat="1" ht="18.75">
      <c r="A33" s="175"/>
      <c r="B33" s="172" t="s">
        <v>122</v>
      </c>
      <c r="C33" s="144"/>
      <c r="D33" s="173"/>
      <c r="E33" s="24"/>
      <c r="F33" s="24"/>
      <c r="G33" s="24"/>
      <c r="H33" s="24"/>
      <c r="I33" s="24"/>
      <c r="J33" s="145"/>
      <c r="K33" s="66"/>
      <c r="L33" s="66"/>
      <c r="M33" s="66"/>
      <c r="N33" s="140"/>
      <c r="O33" s="66"/>
      <c r="P33" s="140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</row>
    <row r="34" spans="1:110" s="67" customFormat="1" ht="18.75">
      <c r="A34" s="158"/>
      <c r="B34" s="25" t="s">
        <v>104</v>
      </c>
      <c r="C34" s="156">
        <v>0.96</v>
      </c>
      <c r="D34" s="221" t="s">
        <v>96</v>
      </c>
      <c r="E34" s="157">
        <v>0</v>
      </c>
      <c r="F34" s="157">
        <f t="shared" ref="F34" si="21">SUM(E34*C34)</f>
        <v>0</v>
      </c>
      <c r="G34" s="24">
        <v>142</v>
      </c>
      <c r="H34" s="24">
        <f t="shared" ref="H34" si="22">C34*G34</f>
        <v>136.32</v>
      </c>
      <c r="I34" s="24">
        <f t="shared" ref="I34" si="23">F34+H34</f>
        <v>136.32</v>
      </c>
      <c r="J34" s="25"/>
      <c r="K34" s="66"/>
      <c r="L34" s="66"/>
      <c r="M34" s="66"/>
      <c r="N34" s="140"/>
      <c r="O34" s="66"/>
      <c r="P34" s="140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</row>
    <row r="35" spans="1:110" s="67" customFormat="1" ht="18.75">
      <c r="A35" s="176"/>
      <c r="B35" s="25" t="s">
        <v>107</v>
      </c>
      <c r="C35" s="156">
        <v>0.12</v>
      </c>
      <c r="D35" s="221" t="s">
        <v>96</v>
      </c>
      <c r="E35" s="157">
        <v>523.37</v>
      </c>
      <c r="F35" s="157">
        <f>SUM(E35*C35)</f>
        <v>62.804400000000001</v>
      </c>
      <c r="G35" s="24">
        <v>104</v>
      </c>
      <c r="H35" s="24">
        <f>C35*G35</f>
        <v>12.48</v>
      </c>
      <c r="I35" s="24">
        <f>F35+H35</f>
        <v>75.284400000000005</v>
      </c>
      <c r="J35" s="25"/>
      <c r="K35" s="66"/>
      <c r="L35" s="66"/>
      <c r="M35" s="66"/>
      <c r="N35" s="140"/>
      <c r="O35" s="66"/>
      <c r="P35" s="140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</row>
    <row r="36" spans="1:110" s="67" customFormat="1" ht="18.75">
      <c r="A36" s="177"/>
      <c r="B36" s="25" t="s">
        <v>109</v>
      </c>
      <c r="C36" s="156">
        <v>0.03</v>
      </c>
      <c r="D36" s="221" t="s">
        <v>96</v>
      </c>
      <c r="E36" s="157">
        <v>1859.81</v>
      </c>
      <c r="F36" s="157">
        <f t="shared" ref="F36:F37" si="24">SUM(E36*C36)</f>
        <v>55.7943</v>
      </c>
      <c r="G36" s="24">
        <v>327</v>
      </c>
      <c r="H36" s="24">
        <f t="shared" ref="H36:H37" si="25">C36*G36</f>
        <v>9.81</v>
      </c>
      <c r="I36" s="24">
        <f t="shared" ref="I36:I37" si="26">F36+H36</f>
        <v>65.604299999999995</v>
      </c>
      <c r="J36" s="25"/>
      <c r="K36" s="66"/>
      <c r="L36" s="66"/>
      <c r="M36" s="66"/>
      <c r="N36" s="140"/>
      <c r="O36" s="66"/>
      <c r="P36" s="140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</row>
    <row r="37" spans="1:110" s="67" customFormat="1" ht="18.75">
      <c r="A37" s="177"/>
      <c r="B37" s="25" t="s">
        <v>110</v>
      </c>
      <c r="C37" s="156">
        <v>0.47</v>
      </c>
      <c r="D37" s="221" t="s">
        <v>96</v>
      </c>
      <c r="E37" s="157">
        <v>1962.62</v>
      </c>
      <c r="F37" s="157">
        <f t="shared" si="24"/>
        <v>922.43139999999994</v>
      </c>
      <c r="G37" s="24">
        <v>327</v>
      </c>
      <c r="H37" s="24">
        <f t="shared" si="25"/>
        <v>153.69</v>
      </c>
      <c r="I37" s="24">
        <f t="shared" si="26"/>
        <v>1076.1214</v>
      </c>
      <c r="J37" s="209"/>
      <c r="K37" s="66"/>
      <c r="L37" s="199">
        <v>0.15</v>
      </c>
      <c r="M37" s="66">
        <f>+K37*0.15</f>
        <v>0</v>
      </c>
      <c r="N37" s="140">
        <f>+K37+M37</f>
        <v>0</v>
      </c>
      <c r="O37" s="66" t="s">
        <v>92</v>
      </c>
      <c r="P37" s="140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</row>
    <row r="38" spans="1:110" s="67" customFormat="1" ht="18.75">
      <c r="A38" s="177"/>
      <c r="B38" s="25" t="s">
        <v>111</v>
      </c>
      <c r="C38" s="156"/>
      <c r="D38" s="221"/>
      <c r="E38" s="157"/>
      <c r="F38" s="157"/>
      <c r="G38" s="24"/>
      <c r="H38" s="24"/>
      <c r="I38" s="24"/>
      <c r="J38" s="25"/>
      <c r="K38" s="66"/>
      <c r="L38" s="199">
        <v>0.15</v>
      </c>
      <c r="M38" s="66">
        <f>+K38*0.15</f>
        <v>0</v>
      </c>
      <c r="N38" s="140">
        <f>+K38+M38</f>
        <v>0</v>
      </c>
      <c r="O38" s="66" t="s">
        <v>92</v>
      </c>
      <c r="P38" s="140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</row>
    <row r="39" spans="1:110" s="67" customFormat="1" ht="21.75">
      <c r="A39" s="176"/>
      <c r="B39" s="225" t="s">
        <v>115</v>
      </c>
      <c r="C39" s="226">
        <v>8.6300000000000008</v>
      </c>
      <c r="D39" s="227" t="s">
        <v>7</v>
      </c>
      <c r="E39" s="228">
        <v>23.14</v>
      </c>
      <c r="F39" s="229">
        <f t="shared" ref="F39:F40" si="27">ROUNDDOWN(C39*E39,2)</f>
        <v>199.69</v>
      </c>
      <c r="G39" s="229">
        <v>4.4000000000000004</v>
      </c>
      <c r="H39" s="229">
        <f t="shared" ref="H39:H41" si="28">ROUNDDOWN(C39*G39,2)</f>
        <v>37.97</v>
      </c>
      <c r="I39" s="229">
        <f t="shared" ref="I39:I40" si="29">ROUNDDOWN(F39+H39,2)</f>
        <v>237.66</v>
      </c>
      <c r="J39" s="25"/>
      <c r="K39" s="66"/>
      <c r="L39" s="199">
        <v>0.15</v>
      </c>
      <c r="M39" s="66">
        <f>110*0.15</f>
        <v>16.5</v>
      </c>
      <c r="N39" s="140">
        <f>+K39+M39</f>
        <v>16.5</v>
      </c>
      <c r="O39" s="66" t="s">
        <v>92</v>
      </c>
      <c r="P39" s="140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</row>
    <row r="40" spans="1:110" s="67" customFormat="1" ht="21.75">
      <c r="A40" s="176"/>
      <c r="B40" s="225" t="s">
        <v>112</v>
      </c>
      <c r="C40" s="226">
        <v>3.21</v>
      </c>
      <c r="D40" s="227" t="s">
        <v>7</v>
      </c>
      <c r="E40" s="228">
        <v>22.37</v>
      </c>
      <c r="F40" s="229">
        <f t="shared" si="27"/>
        <v>71.8</v>
      </c>
      <c r="G40" s="229">
        <v>4.4000000000000004</v>
      </c>
      <c r="H40" s="229">
        <f t="shared" si="28"/>
        <v>14.12</v>
      </c>
      <c r="I40" s="229">
        <f t="shared" si="29"/>
        <v>85.92</v>
      </c>
      <c r="J40" s="25"/>
      <c r="K40" s="66"/>
      <c r="L40" s="66"/>
      <c r="M40" s="66"/>
      <c r="N40" s="140"/>
      <c r="O40" s="66"/>
      <c r="P40" s="140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</row>
    <row r="41" spans="1:110" s="67" customFormat="1" ht="21.75">
      <c r="A41" s="177"/>
      <c r="B41" s="225" t="s">
        <v>113</v>
      </c>
      <c r="C41" s="244">
        <v>41.13</v>
      </c>
      <c r="D41" s="227" t="s">
        <v>7</v>
      </c>
      <c r="E41" s="228">
        <v>21.88</v>
      </c>
      <c r="F41" s="229">
        <f>ROUNDDOWN(C41*E41,2)</f>
        <v>899.92</v>
      </c>
      <c r="G41" s="229">
        <v>3.6</v>
      </c>
      <c r="H41" s="229">
        <f t="shared" si="28"/>
        <v>148.06</v>
      </c>
      <c r="I41" s="229">
        <f>ROUNDDOWN(F41+H41,2)</f>
        <v>1047.98</v>
      </c>
      <c r="J41" s="25"/>
      <c r="K41" s="197"/>
      <c r="L41" s="66"/>
      <c r="M41" s="66"/>
      <c r="N41" s="140"/>
      <c r="O41" s="66"/>
      <c r="P41" s="140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</row>
    <row r="42" spans="1:110" s="67" customFormat="1" ht="18.75">
      <c r="A42" s="177"/>
      <c r="B42" s="225" t="s">
        <v>114</v>
      </c>
      <c r="C42" s="190">
        <f>0.03*(C40+C41+C39)</f>
        <v>1.5891000000000002</v>
      </c>
      <c r="D42" s="227" t="s">
        <v>7</v>
      </c>
      <c r="E42" s="226">
        <v>28.5</v>
      </c>
      <c r="F42" s="226">
        <f t="shared" ref="F42" si="30">C42*E42</f>
        <v>45.289350000000006</v>
      </c>
      <c r="G42" s="226">
        <v>0</v>
      </c>
      <c r="H42" s="226">
        <f t="shared" ref="H42" si="31">C42*G42</f>
        <v>0</v>
      </c>
      <c r="I42" s="226">
        <f t="shared" ref="I42" si="32">F42+H42</f>
        <v>45.289350000000006</v>
      </c>
      <c r="J42" s="25"/>
      <c r="K42" s="66"/>
      <c r="L42" s="66"/>
      <c r="M42" s="66"/>
      <c r="N42" s="140"/>
      <c r="O42" s="66"/>
      <c r="P42" s="140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</row>
    <row r="43" spans="1:110" s="67" customFormat="1" ht="18.75">
      <c r="A43" s="177"/>
      <c r="B43" s="25" t="s">
        <v>116</v>
      </c>
      <c r="C43" s="24"/>
      <c r="D43" s="220"/>
      <c r="E43" s="157"/>
      <c r="F43" s="157"/>
      <c r="G43" s="203"/>
      <c r="H43" s="203"/>
      <c r="I43" s="24"/>
      <c r="J43" s="25"/>
      <c r="K43" s="66"/>
      <c r="L43" s="66"/>
      <c r="M43" s="66"/>
      <c r="N43" s="140"/>
      <c r="O43" s="66"/>
      <c r="P43" s="140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</row>
    <row r="44" spans="1:110" s="67" customFormat="1" ht="18.75" customHeight="1">
      <c r="A44" s="177"/>
      <c r="B44" s="25" t="s">
        <v>117</v>
      </c>
      <c r="C44" s="24">
        <v>4.0999999999999996</v>
      </c>
      <c r="D44" s="220" t="s">
        <v>8</v>
      </c>
      <c r="E44" s="157">
        <v>330</v>
      </c>
      <c r="F44" s="157">
        <f>SUM(C44*E44)</f>
        <v>1352.9999999999998</v>
      </c>
      <c r="G44" s="203">
        <v>0</v>
      </c>
      <c r="H44" s="203">
        <f>SUM(C44*G44)</f>
        <v>0</v>
      </c>
      <c r="I44" s="24">
        <f>SUM(H44+F44)</f>
        <v>1352.9999999999998</v>
      </c>
      <c r="J44" s="25"/>
      <c r="K44" s="66">
        <v>256</v>
      </c>
      <c r="L44" s="66"/>
      <c r="M44" s="66"/>
      <c r="N44" s="140"/>
      <c r="O44" s="66"/>
      <c r="P44" s="140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</row>
    <row r="45" spans="1:110" s="67" customFormat="1" ht="18.75">
      <c r="A45" s="177"/>
      <c r="B45" s="25" t="s">
        <v>118</v>
      </c>
      <c r="C45" s="24">
        <v>5.12</v>
      </c>
      <c r="D45" s="220" t="s">
        <v>8</v>
      </c>
      <c r="E45" s="157">
        <v>0</v>
      </c>
      <c r="F45" s="157">
        <f>SUM(C45*E45)</f>
        <v>0</v>
      </c>
      <c r="G45" s="203">
        <v>133</v>
      </c>
      <c r="H45" s="203">
        <f>SUM(C45*G45)</f>
        <v>680.96</v>
      </c>
      <c r="I45" s="236">
        <f>SUM(H45+F45)</f>
        <v>680.96</v>
      </c>
      <c r="J45" s="25"/>
      <c r="K45" s="66"/>
      <c r="L45" s="66"/>
      <c r="M45" s="66"/>
      <c r="N45" s="140"/>
      <c r="O45" s="66"/>
      <c r="P45" s="140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</row>
    <row r="46" spans="1:110" s="67" customFormat="1" ht="18.75">
      <c r="A46" s="177"/>
      <c r="B46" s="25" t="s">
        <v>119</v>
      </c>
      <c r="C46" s="24">
        <f>C45*0.25</f>
        <v>1.28</v>
      </c>
      <c r="D46" s="220" t="s">
        <v>7</v>
      </c>
      <c r="E46" s="157">
        <v>59.35</v>
      </c>
      <c r="F46" s="157">
        <f>SUM(C46*E46)</f>
        <v>75.968000000000004</v>
      </c>
      <c r="G46" s="222">
        <v>0</v>
      </c>
      <c r="H46" s="203">
        <f t="shared" ref="H46" si="33">SUM(C46*G46)</f>
        <v>0</v>
      </c>
      <c r="I46" s="24">
        <f t="shared" ref="I46" si="34">SUM(H46+F46)</f>
        <v>75.968000000000004</v>
      </c>
      <c r="J46" s="25"/>
      <c r="K46" s="66"/>
      <c r="L46" s="66"/>
      <c r="M46" s="66"/>
      <c r="N46" s="140"/>
      <c r="O46" s="66"/>
      <c r="P46" s="140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</row>
    <row r="47" spans="1:110" s="67" customFormat="1" ht="18.75">
      <c r="A47" s="177"/>
      <c r="B47" s="179"/>
      <c r="C47" s="180"/>
      <c r="D47" s="181"/>
      <c r="E47" s="195"/>
      <c r="F47" s="195"/>
      <c r="G47" s="130"/>
      <c r="H47" s="130"/>
      <c r="I47" s="130"/>
      <c r="J47" s="245"/>
      <c r="K47" s="66"/>
      <c r="L47" s="66"/>
      <c r="M47" s="66"/>
      <c r="N47" s="140"/>
      <c r="O47" s="66"/>
      <c r="P47" s="140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</row>
    <row r="48" spans="1:110" s="67" customFormat="1" ht="18.75">
      <c r="A48" s="239"/>
      <c r="B48" s="237" t="s">
        <v>126</v>
      </c>
      <c r="C48" s="161"/>
      <c r="D48" s="162"/>
      <c r="E48" s="163"/>
      <c r="F48" s="163"/>
      <c r="G48" s="163"/>
      <c r="H48" s="163"/>
      <c r="I48" s="164">
        <f>SUM(I34:I46)</f>
        <v>4880.1074500000004</v>
      </c>
      <c r="J48" s="230"/>
      <c r="K48" s="66"/>
      <c r="L48" s="66"/>
      <c r="M48" s="66"/>
      <c r="N48" s="140"/>
      <c r="O48" s="66"/>
      <c r="P48" s="140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</row>
    <row r="49" spans="1:110" s="67" customFormat="1" ht="18.75">
      <c r="A49" s="247"/>
      <c r="B49" s="240" t="s">
        <v>127</v>
      </c>
      <c r="C49" s="213"/>
      <c r="D49" s="239"/>
      <c r="E49" s="214"/>
      <c r="F49" s="214"/>
      <c r="G49" s="214"/>
      <c r="H49" s="214"/>
      <c r="I49" s="184">
        <f>I48*103</f>
        <v>502651.06735000003</v>
      </c>
      <c r="J49" s="230"/>
      <c r="K49" s="66"/>
      <c r="L49" s="66"/>
      <c r="M49" s="66"/>
      <c r="N49" s="140"/>
      <c r="O49" s="66"/>
      <c r="P49" s="140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</row>
    <row r="50" spans="1:110" s="69" customFormat="1" ht="18.75">
      <c r="A50" s="246"/>
      <c r="B50" s="248" t="s">
        <v>128</v>
      </c>
      <c r="C50" s="249"/>
      <c r="D50" s="250"/>
      <c r="E50" s="251"/>
      <c r="F50" s="251"/>
      <c r="G50" s="251"/>
      <c r="H50" s="251"/>
      <c r="I50" s="251"/>
      <c r="J50" s="145"/>
      <c r="K50" s="66"/>
      <c r="L50" s="66"/>
      <c r="M50" s="66"/>
      <c r="N50" s="140"/>
      <c r="O50" s="66"/>
      <c r="P50" s="140"/>
      <c r="Q50" s="66"/>
    </row>
    <row r="51" spans="1:110" s="69" customFormat="1" ht="18.75">
      <c r="A51" s="171"/>
      <c r="B51" s="234" t="s">
        <v>129</v>
      </c>
      <c r="C51" s="24">
        <v>0.3</v>
      </c>
      <c r="D51" s="220" t="s">
        <v>96</v>
      </c>
      <c r="E51" s="222">
        <v>523.37</v>
      </c>
      <c r="F51" s="157">
        <f>SUM(C51*E51)</f>
        <v>157.011</v>
      </c>
      <c r="G51" s="222">
        <v>104</v>
      </c>
      <c r="H51" s="203">
        <f t="shared" ref="H51" si="35">SUM(C51*G51)</f>
        <v>31.2</v>
      </c>
      <c r="I51" s="235">
        <f t="shared" ref="I51:I52" si="36">SUM(H51+F51)</f>
        <v>188.21099999999998</v>
      </c>
      <c r="J51" s="145"/>
      <c r="K51" s="66"/>
      <c r="L51" s="66"/>
      <c r="M51" s="66"/>
      <c r="N51" s="140"/>
      <c r="O51" s="66"/>
      <c r="P51" s="140"/>
      <c r="Q51" s="66"/>
    </row>
    <row r="52" spans="1:110" s="69" customFormat="1" ht="18.75">
      <c r="A52" s="171"/>
      <c r="B52" s="252" t="s">
        <v>130</v>
      </c>
      <c r="C52" s="207">
        <v>0.72</v>
      </c>
      <c r="D52" s="238" t="s">
        <v>96</v>
      </c>
      <c r="E52" s="195">
        <v>1962.62</v>
      </c>
      <c r="F52" s="195">
        <f>SUM(C52*E52)</f>
        <v>1413.0863999999999</v>
      </c>
      <c r="G52" s="195">
        <v>327</v>
      </c>
      <c r="H52" s="207">
        <f>SUM(C52*G52)</f>
        <v>235.44</v>
      </c>
      <c r="I52" s="130">
        <f t="shared" si="36"/>
        <v>1648.5264</v>
      </c>
      <c r="J52" s="145"/>
      <c r="K52" s="66"/>
      <c r="L52" s="66"/>
      <c r="M52" s="66"/>
      <c r="N52" s="140"/>
      <c r="O52" s="66"/>
      <c r="P52" s="140"/>
      <c r="Q52" s="66"/>
    </row>
    <row r="53" spans="1:110" s="69" customFormat="1" ht="18.75">
      <c r="A53" s="171"/>
      <c r="B53" s="234" t="s">
        <v>111</v>
      </c>
      <c r="C53" s="24"/>
      <c r="D53" s="222"/>
      <c r="E53" s="157"/>
      <c r="F53" s="157"/>
      <c r="G53" s="203"/>
      <c r="H53" s="203"/>
      <c r="I53" s="235"/>
      <c r="J53" s="145"/>
      <c r="K53" s="66"/>
      <c r="L53" s="66"/>
      <c r="M53" s="66"/>
      <c r="N53" s="140"/>
      <c r="O53" s="66"/>
      <c r="P53" s="140"/>
      <c r="Q53" s="66"/>
    </row>
    <row r="54" spans="1:110" s="69" customFormat="1" ht="18.75">
      <c r="A54" s="171"/>
      <c r="B54" s="252" t="s">
        <v>131</v>
      </c>
      <c r="C54" s="130">
        <v>42.44</v>
      </c>
      <c r="D54" s="253" t="s">
        <v>7</v>
      </c>
      <c r="E54" s="195">
        <v>22.37</v>
      </c>
      <c r="F54" s="195">
        <f>SUM(C54*E54)</f>
        <v>949.38279999999997</v>
      </c>
      <c r="G54" s="195">
        <v>4.0999999999999996</v>
      </c>
      <c r="H54" s="207">
        <f>SUM(C54*G54)</f>
        <v>174.00399999999996</v>
      </c>
      <c r="I54" s="130">
        <f>SUM(H54+F54)</f>
        <v>1123.3868</v>
      </c>
      <c r="J54" s="145"/>
      <c r="K54" s="66"/>
      <c r="L54" s="66"/>
      <c r="M54" s="66"/>
      <c r="N54" s="140"/>
      <c r="O54" s="66"/>
      <c r="P54" s="140"/>
      <c r="Q54" s="66"/>
    </row>
    <row r="55" spans="1:110" s="69" customFormat="1" ht="18.75">
      <c r="A55" s="178"/>
      <c r="B55" s="234" t="s">
        <v>132</v>
      </c>
      <c r="C55" s="24">
        <f>0.03*(C54)</f>
        <v>1.2731999999999999</v>
      </c>
      <c r="D55" s="222" t="s">
        <v>7</v>
      </c>
      <c r="E55" s="157">
        <v>28.5</v>
      </c>
      <c r="F55" s="157">
        <f t="shared" ref="F55" si="37">SUM(C55*E55)</f>
        <v>36.286199999999994</v>
      </c>
      <c r="G55" s="157">
        <v>0</v>
      </c>
      <c r="H55" s="203">
        <f>SUM(C55*G55)</f>
        <v>0</v>
      </c>
      <c r="I55" s="235">
        <f t="shared" ref="I55" si="38">SUM(H55+F55)</f>
        <v>36.286199999999994</v>
      </c>
      <c r="J55" s="145"/>
      <c r="K55" s="66"/>
      <c r="L55" s="66"/>
      <c r="M55" s="66"/>
      <c r="N55" s="140"/>
      <c r="O55" s="66"/>
      <c r="P55" s="140"/>
      <c r="Q55" s="66"/>
    </row>
    <row r="56" spans="1:110" s="69" customFormat="1" ht="18.75">
      <c r="A56" s="178"/>
      <c r="B56" s="252" t="s">
        <v>116</v>
      </c>
      <c r="C56" s="130"/>
      <c r="D56" s="253"/>
      <c r="E56" s="195"/>
      <c r="F56" s="195"/>
      <c r="G56" s="207"/>
      <c r="H56" s="207"/>
      <c r="I56" s="130"/>
      <c r="J56" s="145"/>
      <c r="K56" s="66"/>
      <c r="L56" s="66"/>
      <c r="M56" s="66"/>
      <c r="N56" s="140"/>
      <c r="O56" s="66"/>
      <c r="P56" s="140"/>
      <c r="Q56" s="66"/>
    </row>
    <row r="57" spans="1:110" s="69" customFormat="1" ht="18.75">
      <c r="A57" s="246"/>
      <c r="B57" s="234" t="s">
        <v>117</v>
      </c>
      <c r="C57" s="24">
        <f>0.8*C58</f>
        <v>2.4207999999999998</v>
      </c>
      <c r="D57" s="220" t="s">
        <v>8</v>
      </c>
      <c r="E57" s="157">
        <v>330</v>
      </c>
      <c r="F57" s="157">
        <f>SUM(C57*E57)</f>
        <v>798.86399999999992</v>
      </c>
      <c r="G57" s="203">
        <v>0</v>
      </c>
      <c r="H57" s="203">
        <f>SUM(C57*G57)</f>
        <v>0</v>
      </c>
      <c r="I57" s="235">
        <f>SUM(H57+F57)</f>
        <v>798.86399999999992</v>
      </c>
      <c r="J57" s="145"/>
      <c r="K57" s="66"/>
      <c r="L57" s="66"/>
      <c r="M57" s="66"/>
      <c r="N57" s="140"/>
      <c r="O57" s="66"/>
      <c r="P57" s="140"/>
      <c r="Q57" s="66"/>
    </row>
    <row r="58" spans="1:110" s="69" customFormat="1" ht="18.75">
      <c r="A58" s="171"/>
      <c r="B58" s="234" t="s">
        <v>118</v>
      </c>
      <c r="C58" s="24">
        <v>3.0259999999999998</v>
      </c>
      <c r="D58" s="220" t="s">
        <v>8</v>
      </c>
      <c r="E58" s="157">
        <v>0</v>
      </c>
      <c r="F58" s="157">
        <f>SUM(C58*E58)</f>
        <v>0</v>
      </c>
      <c r="G58" s="203">
        <v>139</v>
      </c>
      <c r="H58" s="203">
        <f>SUM(C58*G58)</f>
        <v>420.61399999999998</v>
      </c>
      <c r="I58" s="235">
        <f>SUM(H58+F58)</f>
        <v>420.61399999999998</v>
      </c>
      <c r="J58" s="145"/>
      <c r="K58" s="66"/>
      <c r="L58" s="66"/>
      <c r="M58" s="66"/>
      <c r="N58" s="140"/>
      <c r="O58" s="66"/>
      <c r="P58" s="140"/>
      <c r="Q58" s="66"/>
    </row>
    <row r="59" spans="1:110" s="69" customFormat="1" ht="21.75" customHeight="1">
      <c r="A59" s="174"/>
      <c r="B59" s="231" t="s">
        <v>119</v>
      </c>
      <c r="C59" s="218">
        <f>C58*0.25</f>
        <v>0.75649999999999995</v>
      </c>
      <c r="D59" s="215" t="s">
        <v>7</v>
      </c>
      <c r="E59" s="232">
        <v>59.35</v>
      </c>
      <c r="F59" s="232">
        <f t="shared" ref="F59" si="39">SUM(C59*E59)</f>
        <v>44.898274999999998</v>
      </c>
      <c r="G59" s="216">
        <v>0</v>
      </c>
      <c r="H59" s="217">
        <f t="shared" ref="H59" si="40">SUM(C59*G59)</f>
        <v>0</v>
      </c>
      <c r="I59" s="218">
        <f t="shared" ref="I59" si="41">SUM(H59+F59)</f>
        <v>44.898274999999998</v>
      </c>
      <c r="J59" s="245"/>
      <c r="K59" s="66"/>
      <c r="L59" s="66"/>
      <c r="M59" s="66"/>
      <c r="N59" s="140"/>
      <c r="O59" s="66"/>
      <c r="P59" s="140"/>
      <c r="Q59" s="66"/>
    </row>
    <row r="60" spans="1:110" s="69" customFormat="1" ht="21.75" customHeight="1">
      <c r="A60" s="247"/>
      <c r="B60" s="254" t="s">
        <v>133</v>
      </c>
      <c r="C60" s="218"/>
      <c r="D60" s="215"/>
      <c r="E60" s="232"/>
      <c r="F60" s="232"/>
      <c r="G60" s="216"/>
      <c r="H60" s="217"/>
      <c r="I60" s="184">
        <f>SUM(I51:I59)</f>
        <v>4260.7866749999994</v>
      </c>
      <c r="J60" s="230"/>
      <c r="K60" s="66"/>
      <c r="L60" s="66"/>
      <c r="M60" s="66"/>
      <c r="N60" s="140"/>
      <c r="O60" s="66"/>
      <c r="P60" s="140"/>
      <c r="Q60" s="66"/>
    </row>
    <row r="61" spans="1:110" s="70" customFormat="1" ht="21.75" customHeight="1">
      <c r="A61" s="182"/>
      <c r="B61" s="183" t="s">
        <v>134</v>
      </c>
      <c r="C61" s="184"/>
      <c r="D61" s="185"/>
      <c r="E61" s="186"/>
      <c r="F61" s="186"/>
      <c r="G61" s="186"/>
      <c r="H61" s="184"/>
      <c r="I61" s="184">
        <f>I60*2</f>
        <v>8521.5733499999988</v>
      </c>
      <c r="J61" s="184"/>
      <c r="K61" s="67"/>
      <c r="L61" s="67"/>
      <c r="M61" s="67"/>
      <c r="N61" s="138"/>
      <c r="O61" s="67"/>
      <c r="P61" s="138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</row>
    <row r="62" spans="1:110" s="67" customFormat="1" ht="21.75" customHeight="1">
      <c r="A62" s="276">
        <v>3</v>
      </c>
      <c r="B62" s="277" t="s">
        <v>135</v>
      </c>
      <c r="C62" s="201"/>
      <c r="D62" s="202"/>
      <c r="E62" s="203"/>
      <c r="F62" s="203"/>
      <c r="G62" s="203"/>
      <c r="H62" s="203"/>
      <c r="I62" s="203"/>
      <c r="J62" s="204"/>
      <c r="L62" s="136"/>
      <c r="N62" s="138"/>
      <c r="P62" s="138"/>
    </row>
    <row r="63" spans="1:110" s="67" customFormat="1" ht="21.75" customHeight="1">
      <c r="A63" s="200"/>
      <c r="B63" s="277" t="s">
        <v>103</v>
      </c>
      <c r="C63" s="201"/>
      <c r="D63" s="202"/>
      <c r="E63" s="203"/>
      <c r="F63" s="203"/>
      <c r="G63" s="203"/>
      <c r="H63" s="203"/>
      <c r="I63" s="203"/>
      <c r="J63" s="204"/>
      <c r="L63" s="136"/>
      <c r="N63" s="138"/>
      <c r="P63" s="138"/>
    </row>
    <row r="64" spans="1:110" s="67" customFormat="1" ht="21.75" customHeight="1">
      <c r="A64" s="200"/>
      <c r="B64" s="274" t="s">
        <v>136</v>
      </c>
      <c r="C64" s="222">
        <v>2.0099999999999998</v>
      </c>
      <c r="D64" s="20" t="s">
        <v>8</v>
      </c>
      <c r="E64" s="203">
        <f>222+30</f>
        <v>252</v>
      </c>
      <c r="F64" s="203">
        <f t="shared" ref="F64:F71" si="42">SUM(E64*C64)</f>
        <v>506.51999999999992</v>
      </c>
      <c r="G64" s="203">
        <v>56</v>
      </c>
      <c r="H64" s="203">
        <f t="shared" ref="H64:H71" si="43">SUM(G64*C64)</f>
        <v>112.55999999999999</v>
      </c>
      <c r="I64" s="275">
        <f t="shared" ref="I64:I71" si="44">SUM(H64+F64)</f>
        <v>619.07999999999993</v>
      </c>
      <c r="J64" s="204"/>
      <c r="K64" s="198" t="s">
        <v>183</v>
      </c>
      <c r="L64" s="136"/>
      <c r="N64" s="138"/>
      <c r="P64" s="138"/>
    </row>
    <row r="65" spans="1:16" s="67" customFormat="1" ht="21.75" customHeight="1">
      <c r="A65" s="200"/>
      <c r="B65" s="278" t="s">
        <v>137</v>
      </c>
      <c r="C65" s="238">
        <v>4.62</v>
      </c>
      <c r="D65" s="194" t="s">
        <v>8</v>
      </c>
      <c r="E65" s="207">
        <v>120</v>
      </c>
      <c r="F65" s="207">
        <f t="shared" si="42"/>
        <v>554.4</v>
      </c>
      <c r="G65" s="207">
        <v>105</v>
      </c>
      <c r="H65" s="207">
        <f t="shared" si="43"/>
        <v>485.1</v>
      </c>
      <c r="I65" s="207">
        <f t="shared" si="44"/>
        <v>1039.5</v>
      </c>
      <c r="J65" s="204"/>
      <c r="L65" s="136"/>
      <c r="N65" s="138"/>
      <c r="P65" s="138"/>
    </row>
    <row r="66" spans="1:16" ht="21.75" customHeight="1">
      <c r="A66" s="200"/>
      <c r="B66" s="274" t="s">
        <v>138</v>
      </c>
      <c r="C66" s="222">
        <v>5.6</v>
      </c>
      <c r="D66" s="20" t="s">
        <v>26</v>
      </c>
      <c r="E66" s="203">
        <v>158</v>
      </c>
      <c r="F66" s="203">
        <f t="shared" si="42"/>
        <v>884.8</v>
      </c>
      <c r="G66" s="203">
        <v>0</v>
      </c>
      <c r="H66" s="203">
        <f t="shared" si="43"/>
        <v>0</v>
      </c>
      <c r="I66" s="275">
        <f t="shared" si="44"/>
        <v>884.8</v>
      </c>
      <c r="J66" s="204"/>
      <c r="K66" s="66" t="s">
        <v>182</v>
      </c>
      <c r="L66" s="68"/>
    </row>
    <row r="67" spans="1:16" ht="21.75" customHeight="1">
      <c r="A67" s="205"/>
      <c r="B67" s="278" t="s">
        <v>139</v>
      </c>
      <c r="C67" s="238">
        <v>18.899999999999999</v>
      </c>
      <c r="D67" s="194" t="s">
        <v>26</v>
      </c>
      <c r="E67" s="207">
        <v>81</v>
      </c>
      <c r="F67" s="207">
        <f t="shared" si="42"/>
        <v>1530.8999999999999</v>
      </c>
      <c r="G67" s="207">
        <v>0</v>
      </c>
      <c r="H67" s="207">
        <f t="shared" si="43"/>
        <v>0</v>
      </c>
      <c r="I67" s="207">
        <f t="shared" si="44"/>
        <v>1530.8999999999999</v>
      </c>
      <c r="J67" s="204"/>
      <c r="K67" s="66" t="s">
        <v>182</v>
      </c>
      <c r="L67" s="68"/>
    </row>
    <row r="68" spans="1:16" ht="21.75" customHeight="1">
      <c r="A68" s="205"/>
      <c r="B68" s="279" t="s">
        <v>140</v>
      </c>
      <c r="C68" s="222">
        <v>4</v>
      </c>
      <c r="D68" s="20" t="s">
        <v>22</v>
      </c>
      <c r="E68" s="203">
        <f>85+15</f>
        <v>100</v>
      </c>
      <c r="F68" s="203">
        <f t="shared" si="42"/>
        <v>400</v>
      </c>
      <c r="G68" s="203">
        <v>0</v>
      </c>
      <c r="H68" s="203">
        <f t="shared" si="43"/>
        <v>0</v>
      </c>
      <c r="I68" s="275">
        <f t="shared" si="44"/>
        <v>400</v>
      </c>
      <c r="J68" s="204"/>
      <c r="K68" s="66" t="s">
        <v>186</v>
      </c>
    </row>
    <row r="69" spans="1:16" ht="21.75" customHeight="1">
      <c r="A69" s="205"/>
      <c r="B69" s="274" t="s">
        <v>184</v>
      </c>
      <c r="C69" s="222">
        <v>1</v>
      </c>
      <c r="D69" s="20" t="s">
        <v>185</v>
      </c>
      <c r="E69" s="203">
        <v>0</v>
      </c>
      <c r="F69" s="203">
        <f t="shared" ref="F69" si="45">SUM(E69*C69)</f>
        <v>0</v>
      </c>
      <c r="G69" s="203">
        <f>SUM(I66:I68)*0.3</f>
        <v>844.70999999999992</v>
      </c>
      <c r="H69" s="203">
        <f t="shared" ref="H69" si="46">SUM(G69*C69)</f>
        <v>844.70999999999992</v>
      </c>
      <c r="I69" s="275">
        <f t="shared" ref="I69" si="47">SUM(H69+F69)</f>
        <v>844.70999999999992</v>
      </c>
      <c r="J69" s="204"/>
    </row>
    <row r="70" spans="1:16" ht="21.75" customHeight="1">
      <c r="A70" s="205"/>
      <c r="B70" s="278" t="s">
        <v>141</v>
      </c>
      <c r="C70" s="238">
        <v>4.8</v>
      </c>
      <c r="D70" s="194" t="s">
        <v>26</v>
      </c>
      <c r="E70" s="207">
        <v>60</v>
      </c>
      <c r="F70" s="207">
        <f t="shared" si="42"/>
        <v>288</v>
      </c>
      <c r="G70" s="207">
        <v>40</v>
      </c>
      <c r="H70" s="207">
        <f t="shared" si="43"/>
        <v>192</v>
      </c>
      <c r="I70" s="207">
        <f t="shared" si="44"/>
        <v>480</v>
      </c>
      <c r="J70" s="204"/>
      <c r="L70" s="68"/>
    </row>
    <row r="71" spans="1:16" ht="21.75" customHeight="1">
      <c r="A71" s="205"/>
      <c r="B71" s="274" t="s">
        <v>142</v>
      </c>
      <c r="C71" s="222">
        <v>1.0325</v>
      </c>
      <c r="D71" s="20" t="s">
        <v>8</v>
      </c>
      <c r="E71" s="203">
        <f>62+36</f>
        <v>98</v>
      </c>
      <c r="F71" s="203">
        <f t="shared" si="42"/>
        <v>101.185</v>
      </c>
      <c r="G71" s="203">
        <f>35+35</f>
        <v>70</v>
      </c>
      <c r="H71" s="203">
        <f t="shared" si="43"/>
        <v>72.274999999999991</v>
      </c>
      <c r="I71" s="275">
        <f t="shared" si="44"/>
        <v>173.45999999999998</v>
      </c>
      <c r="J71" s="204"/>
      <c r="L71" s="68"/>
    </row>
    <row r="72" spans="1:16" ht="21.75" customHeight="1">
      <c r="A72" s="205"/>
      <c r="B72" s="270" t="s">
        <v>143</v>
      </c>
      <c r="C72" s="222">
        <v>5.66</v>
      </c>
      <c r="D72" s="20" t="s">
        <v>8</v>
      </c>
      <c r="E72" s="207">
        <v>52</v>
      </c>
      <c r="F72" s="207">
        <f>SUM(E72*C72)</f>
        <v>294.32</v>
      </c>
      <c r="G72" s="207">
        <v>34</v>
      </c>
      <c r="H72" s="207">
        <f>SUM(G72*C72)</f>
        <v>192.44</v>
      </c>
      <c r="I72" s="207">
        <f>SUM(H72+F72)</f>
        <v>486.76</v>
      </c>
      <c r="J72" s="204"/>
      <c r="L72" s="68"/>
    </row>
    <row r="73" spans="1:16" ht="21.75" customHeight="1">
      <c r="A73" s="256"/>
      <c r="B73" s="255" t="s">
        <v>144</v>
      </c>
      <c r="C73" s="201"/>
      <c r="D73" s="202"/>
      <c r="E73" s="203"/>
      <c r="F73" s="203"/>
      <c r="G73" s="203"/>
      <c r="H73" s="203"/>
      <c r="I73" s="203"/>
      <c r="J73" s="208"/>
      <c r="L73" s="68"/>
    </row>
    <row r="74" spans="1:16" ht="21.75" customHeight="1">
      <c r="A74" s="257"/>
      <c r="B74" s="57" t="s">
        <v>145</v>
      </c>
      <c r="C74" s="161"/>
      <c r="D74" s="162"/>
      <c r="E74" s="280"/>
      <c r="F74" s="280"/>
      <c r="G74" s="280"/>
      <c r="H74" s="280"/>
      <c r="I74" s="184">
        <f>SUM(I63:I73)</f>
        <v>6459.21</v>
      </c>
      <c r="J74" s="260"/>
      <c r="L74" s="68"/>
    </row>
    <row r="75" spans="1:16" ht="21.75" customHeight="1">
      <c r="A75" s="187"/>
      <c r="B75" s="57" t="s">
        <v>146</v>
      </c>
      <c r="C75" s="161"/>
      <c r="D75" s="162"/>
      <c r="E75" s="280"/>
      <c r="F75" s="280"/>
      <c r="G75" s="280"/>
      <c r="H75" s="280"/>
      <c r="I75" s="184">
        <f>I74*9</f>
        <v>58132.89</v>
      </c>
      <c r="J75" s="260"/>
      <c r="L75" s="68"/>
    </row>
    <row r="76" spans="1:16" ht="21.75" customHeight="1">
      <c r="A76" s="258"/>
      <c r="B76" s="281" t="s">
        <v>190</v>
      </c>
      <c r="C76" s="282"/>
      <c r="D76" s="266"/>
      <c r="E76" s="267"/>
      <c r="F76" s="267"/>
      <c r="G76" s="267"/>
      <c r="H76" s="267"/>
      <c r="I76" s="267"/>
      <c r="J76" s="259"/>
      <c r="K76" s="66">
        <f>+((5.572+27.684+45.936)*2)</f>
        <v>158.38400000000001</v>
      </c>
      <c r="L76" s="68"/>
    </row>
    <row r="77" spans="1:16" ht="21.75" customHeight="1">
      <c r="A77" s="205"/>
      <c r="B77" s="278" t="s">
        <v>147</v>
      </c>
      <c r="C77" s="238">
        <f>(5.13*103)</f>
        <v>528.39</v>
      </c>
      <c r="D77" s="194" t="s">
        <v>8</v>
      </c>
      <c r="E77" s="207">
        <f>111+30</f>
        <v>141</v>
      </c>
      <c r="F77" s="207">
        <f t="shared" ref="F77:F78" si="48">SUM(E77*C77)</f>
        <v>74502.990000000005</v>
      </c>
      <c r="G77" s="207">
        <v>106</v>
      </c>
      <c r="H77" s="207">
        <f t="shared" ref="H77:H78" si="49">SUM(G77*C77)</f>
        <v>56009.34</v>
      </c>
      <c r="I77" s="207">
        <f t="shared" ref="I77:I78" si="50">SUM(H77+F77)</f>
        <v>130512.33</v>
      </c>
      <c r="J77" s="204"/>
      <c r="K77" s="66">
        <f>5.13*103</f>
        <v>528.39</v>
      </c>
      <c r="L77" s="68"/>
    </row>
    <row r="78" spans="1:16" ht="21.75" customHeight="1">
      <c r="A78" s="205"/>
      <c r="B78" s="274" t="s">
        <v>137</v>
      </c>
      <c r="C78" s="222">
        <f>+(10.2*103)-((5.572+27.684+45.936+34.528+50.912)*2)</f>
        <v>721.3359999999999</v>
      </c>
      <c r="D78" s="20" t="s">
        <v>8</v>
      </c>
      <c r="E78" s="203">
        <v>120</v>
      </c>
      <c r="F78" s="203">
        <f t="shared" si="48"/>
        <v>86560.319999999992</v>
      </c>
      <c r="G78" s="203">
        <v>105</v>
      </c>
      <c r="H78" s="203">
        <f t="shared" si="49"/>
        <v>75740.279999999984</v>
      </c>
      <c r="I78" s="275">
        <f t="shared" si="50"/>
        <v>162300.59999999998</v>
      </c>
      <c r="J78" s="204"/>
      <c r="K78" s="66">
        <f>+K77-K76</f>
        <v>370.00599999999997</v>
      </c>
      <c r="L78" s="68"/>
    </row>
    <row r="79" spans="1:16" ht="21.75" customHeight="1">
      <c r="A79" s="205"/>
      <c r="B79" s="278" t="s">
        <v>148</v>
      </c>
      <c r="C79" s="238">
        <f>+(10.2*103)-((5.572+27.684+45.936+34.528+50.912)*2)</f>
        <v>721.3359999999999</v>
      </c>
      <c r="D79" s="194" t="s">
        <v>8</v>
      </c>
      <c r="E79" s="207">
        <v>52</v>
      </c>
      <c r="F79" s="207">
        <f>SUM(E79*C79)</f>
        <v>37509.471999999994</v>
      </c>
      <c r="G79" s="207">
        <v>34</v>
      </c>
      <c r="H79" s="207">
        <f>SUM(G79*C79)</f>
        <v>24525.423999999995</v>
      </c>
      <c r="I79" s="207">
        <f>SUM(H79+F79)</f>
        <v>62034.895999999993</v>
      </c>
      <c r="J79" s="204"/>
      <c r="L79" s="68"/>
    </row>
    <row r="80" spans="1:16" ht="21.75" customHeight="1">
      <c r="A80" s="205"/>
      <c r="B80" s="274" t="s">
        <v>149</v>
      </c>
      <c r="C80" s="283"/>
      <c r="D80" s="284"/>
      <c r="E80" s="222"/>
      <c r="F80" s="222"/>
      <c r="G80" s="222"/>
      <c r="H80" s="222"/>
      <c r="I80" s="285"/>
      <c r="J80" s="204"/>
      <c r="K80" s="66">
        <f>5.13*2</f>
        <v>10.26</v>
      </c>
      <c r="L80" s="68"/>
    </row>
    <row r="81" spans="1:12" ht="21.75" customHeight="1">
      <c r="A81" s="256"/>
      <c r="B81" s="286" t="s">
        <v>150</v>
      </c>
      <c r="C81" s="287"/>
      <c r="D81" s="288"/>
      <c r="E81" s="216"/>
      <c r="F81" s="216"/>
      <c r="G81" s="216"/>
      <c r="H81" s="216"/>
      <c r="I81" s="287"/>
      <c r="J81" s="208"/>
      <c r="K81" s="66">
        <v>1.03</v>
      </c>
      <c r="L81" s="68"/>
    </row>
    <row r="82" spans="1:12" ht="21.75" customHeight="1">
      <c r="A82" s="187"/>
      <c r="B82" s="57" t="s">
        <v>151</v>
      </c>
      <c r="C82" s="161"/>
      <c r="D82" s="162"/>
      <c r="E82" s="280"/>
      <c r="F82" s="280"/>
      <c r="G82" s="280"/>
      <c r="H82" s="280"/>
      <c r="I82" s="184">
        <f>SUM(I77:I81)</f>
        <v>354847.826</v>
      </c>
      <c r="J82" s="261"/>
      <c r="K82" s="66">
        <f>+K80*K81</f>
        <v>10.5678</v>
      </c>
      <c r="L82" s="68"/>
    </row>
    <row r="83" spans="1:12" ht="21.75" customHeight="1">
      <c r="A83" s="276">
        <v>4</v>
      </c>
      <c r="B83" s="289" t="s">
        <v>152</v>
      </c>
      <c r="C83" s="282"/>
      <c r="D83" s="266"/>
      <c r="E83" s="267"/>
      <c r="F83" s="267"/>
      <c r="G83" s="267"/>
      <c r="H83" s="267"/>
      <c r="I83" s="262"/>
      <c r="J83" s="259"/>
      <c r="L83" s="68"/>
    </row>
    <row r="84" spans="1:12" ht="21.75" customHeight="1">
      <c r="A84" s="205"/>
      <c r="B84" s="302" t="s">
        <v>153</v>
      </c>
      <c r="C84" s="238">
        <v>2</v>
      </c>
      <c r="D84" s="194" t="s">
        <v>22</v>
      </c>
      <c r="E84" s="238" t="s">
        <v>154</v>
      </c>
      <c r="F84" s="207">
        <v>65000</v>
      </c>
      <c r="G84" s="207"/>
      <c r="H84" s="207">
        <f>SUM(G84*C84)</f>
        <v>0</v>
      </c>
      <c r="I84" s="207">
        <f>H84+F84*C84</f>
        <v>130000</v>
      </c>
      <c r="J84" s="204"/>
      <c r="L84" s="68"/>
    </row>
    <row r="85" spans="1:12" ht="21.75" customHeight="1">
      <c r="A85" s="258"/>
      <c r="B85" s="274" t="s">
        <v>155</v>
      </c>
      <c r="C85" s="222"/>
      <c r="D85" s="20"/>
      <c r="E85" s="203"/>
      <c r="F85" s="203">
        <f t="shared" ref="F85" si="51">SUM(E85*C85)</f>
        <v>0</v>
      </c>
      <c r="G85" s="203"/>
      <c r="H85" s="203">
        <f t="shared" ref="H85:H87" si="52">SUM(G85*C85)</f>
        <v>0</v>
      </c>
      <c r="I85" s="275">
        <f t="shared" ref="I85:I87" si="53">SUM(H85+F85)</f>
        <v>0</v>
      </c>
      <c r="J85" s="204"/>
      <c r="L85" s="68"/>
    </row>
    <row r="86" spans="1:12" ht="21.75" customHeight="1">
      <c r="A86" s="258"/>
      <c r="B86" s="278" t="s">
        <v>156</v>
      </c>
      <c r="C86" s="238"/>
      <c r="D86" s="194"/>
      <c r="E86" s="207"/>
      <c r="F86" s="207">
        <f t="shared" ref="F86:F87" si="54">SUM(E86*C86)</f>
        <v>0</v>
      </c>
      <c r="G86" s="207"/>
      <c r="H86" s="207">
        <f t="shared" si="52"/>
        <v>0</v>
      </c>
      <c r="I86" s="207">
        <f t="shared" si="53"/>
        <v>0</v>
      </c>
      <c r="J86" s="204"/>
      <c r="L86" s="68"/>
    </row>
    <row r="87" spans="1:12" ht="21.75" customHeight="1">
      <c r="A87" s="258"/>
      <c r="B87" s="274" t="s">
        <v>157</v>
      </c>
      <c r="C87" s="222"/>
      <c r="D87" s="20"/>
      <c r="E87" s="203"/>
      <c r="F87" s="203">
        <f t="shared" si="54"/>
        <v>0</v>
      </c>
      <c r="G87" s="203"/>
      <c r="H87" s="203">
        <f t="shared" si="52"/>
        <v>0</v>
      </c>
      <c r="I87" s="275">
        <f t="shared" si="53"/>
        <v>0</v>
      </c>
      <c r="J87" s="204"/>
      <c r="L87" s="68"/>
    </row>
    <row r="88" spans="1:12" ht="21.75" customHeight="1">
      <c r="A88" s="258"/>
      <c r="B88" s="278" t="s">
        <v>158</v>
      </c>
      <c r="C88" s="238"/>
      <c r="D88" s="194"/>
      <c r="E88" s="207"/>
      <c r="F88" s="207">
        <f>SUM(E88*C88)</f>
        <v>0</v>
      </c>
      <c r="G88" s="207"/>
      <c r="H88" s="207">
        <f>SUM(G88*C88)</f>
        <v>0</v>
      </c>
      <c r="I88" s="207">
        <f>SUM(H88+F88)</f>
        <v>0</v>
      </c>
      <c r="J88" s="204"/>
      <c r="L88" s="68"/>
    </row>
    <row r="89" spans="1:12" ht="21.75" customHeight="1">
      <c r="A89" s="258"/>
      <c r="B89" s="274" t="s">
        <v>159</v>
      </c>
      <c r="C89" s="222"/>
      <c r="D89" s="20"/>
      <c r="E89" s="203"/>
      <c r="F89" s="203">
        <f>SUM(E89*C89)</f>
        <v>0</v>
      </c>
      <c r="G89" s="203"/>
      <c r="H89" s="203">
        <f>SUM(G89*C89)</f>
        <v>0</v>
      </c>
      <c r="I89" s="275">
        <f>SUM(H89+F89)</f>
        <v>0</v>
      </c>
      <c r="J89" s="204"/>
      <c r="L89" s="68"/>
    </row>
    <row r="90" spans="1:12" ht="21.75" customHeight="1">
      <c r="A90" s="258"/>
      <c r="B90" s="278" t="s">
        <v>160</v>
      </c>
      <c r="C90" s="238"/>
      <c r="D90" s="194"/>
      <c r="E90" s="207"/>
      <c r="F90" s="207">
        <f>SUM(E90*C90)</f>
        <v>0</v>
      </c>
      <c r="G90" s="207"/>
      <c r="H90" s="207">
        <f>SUM(G90*C90)</f>
        <v>0</v>
      </c>
      <c r="I90" s="207">
        <f>SUM(H90+F90)</f>
        <v>0</v>
      </c>
      <c r="J90" s="204"/>
      <c r="L90" s="68"/>
    </row>
    <row r="91" spans="1:12" ht="21.75" customHeight="1">
      <c r="A91" s="258"/>
      <c r="B91" s="274" t="s">
        <v>161</v>
      </c>
      <c r="C91" s="222">
        <v>2</v>
      </c>
      <c r="D91" s="20" t="s">
        <v>22</v>
      </c>
      <c r="E91" s="222" t="s">
        <v>154</v>
      </c>
      <c r="F91" s="203">
        <v>5000</v>
      </c>
      <c r="G91" s="203"/>
      <c r="H91" s="203">
        <f>SUM(G91*C91)</f>
        <v>0</v>
      </c>
      <c r="I91" s="275">
        <f>F91*C91+H91</f>
        <v>10000</v>
      </c>
      <c r="J91" s="204"/>
      <c r="L91" s="68"/>
    </row>
    <row r="92" spans="1:12" ht="21.75" customHeight="1">
      <c r="A92" s="206"/>
      <c r="B92" s="290" t="s">
        <v>162</v>
      </c>
      <c r="C92" s="291"/>
      <c r="D92" s="292"/>
      <c r="E92" s="272"/>
      <c r="F92" s="272"/>
      <c r="G92" s="272"/>
      <c r="H92" s="272"/>
      <c r="I92" s="293"/>
      <c r="J92" s="208"/>
      <c r="L92" s="68"/>
    </row>
    <row r="93" spans="1:12" ht="21.75" customHeight="1">
      <c r="A93" s="187"/>
      <c r="B93" s="263" t="s">
        <v>163</v>
      </c>
      <c r="C93" s="184"/>
      <c r="D93" s="185"/>
      <c r="E93" s="186"/>
      <c r="F93" s="186"/>
      <c r="G93" s="186"/>
      <c r="H93" s="184"/>
      <c r="I93" s="264">
        <f>SUM(I84:I91)</f>
        <v>140000</v>
      </c>
      <c r="J93" s="260"/>
      <c r="L93" s="68"/>
    </row>
    <row r="94" spans="1:12" ht="21.75" customHeight="1">
      <c r="A94" s="297">
        <v>5</v>
      </c>
      <c r="B94" s="289" t="s">
        <v>164</v>
      </c>
      <c r="C94" s="265"/>
      <c r="D94" s="266"/>
      <c r="E94" s="267"/>
      <c r="F94" s="267"/>
      <c r="G94" s="267"/>
      <c r="H94" s="267"/>
      <c r="I94" s="267"/>
      <c r="J94" s="204"/>
      <c r="L94" s="68"/>
    </row>
    <row r="95" spans="1:12" ht="21.75" customHeight="1">
      <c r="A95" s="202">
        <v>5.0999999999999996</v>
      </c>
      <c r="B95" s="278" t="s">
        <v>165</v>
      </c>
      <c r="C95" s="238">
        <v>18</v>
      </c>
      <c r="D95" s="194" t="s">
        <v>22</v>
      </c>
      <c r="E95" s="207">
        <f>379+80+50</f>
        <v>509</v>
      </c>
      <c r="F95" s="207">
        <f>SUM(E95*C95)</f>
        <v>9162</v>
      </c>
      <c r="G95" s="207">
        <v>100</v>
      </c>
      <c r="H95" s="207">
        <f>SUM(G95*C95)</f>
        <v>1800</v>
      </c>
      <c r="I95" s="207">
        <f>SUM(H95+F95)</f>
        <v>10962</v>
      </c>
      <c r="J95" s="21"/>
      <c r="K95" s="197" t="s">
        <v>188</v>
      </c>
      <c r="L95" s="68"/>
    </row>
    <row r="96" spans="1:12" ht="21.75" customHeight="1">
      <c r="A96" s="298"/>
      <c r="B96" s="270" t="s">
        <v>166</v>
      </c>
      <c r="C96" s="283"/>
      <c r="D96" s="284"/>
      <c r="E96" s="222"/>
      <c r="F96" s="222"/>
      <c r="G96" s="222"/>
      <c r="H96" s="222"/>
      <c r="I96" s="285"/>
      <c r="J96" s="21"/>
      <c r="L96" s="68"/>
    </row>
    <row r="97" spans="1:16" ht="21.75" customHeight="1">
      <c r="A97" s="20">
        <v>5.2</v>
      </c>
      <c r="B97" s="299" t="s">
        <v>167</v>
      </c>
      <c r="C97" s="300"/>
      <c r="D97" s="202"/>
      <c r="E97" s="301"/>
      <c r="F97" s="301"/>
      <c r="G97" s="301"/>
      <c r="H97" s="301"/>
      <c r="I97" s="301"/>
      <c r="J97" s="21"/>
      <c r="L97" s="68"/>
    </row>
    <row r="98" spans="1:16" ht="21.75" customHeight="1">
      <c r="A98" s="194"/>
      <c r="B98" s="294" t="s">
        <v>168</v>
      </c>
      <c r="C98" s="238">
        <v>80</v>
      </c>
      <c r="D98" s="194" t="s">
        <v>26</v>
      </c>
      <c r="E98" s="207">
        <v>9.9700000000000006</v>
      </c>
      <c r="F98" s="207">
        <f t="shared" ref="F98:F99" si="55">SUM(E98*C98)</f>
        <v>797.6</v>
      </c>
      <c r="G98" s="207">
        <v>5</v>
      </c>
      <c r="H98" s="207">
        <f t="shared" ref="H98:H99" si="56">SUM(G98*C98)</f>
        <v>400</v>
      </c>
      <c r="I98" s="207">
        <f t="shared" ref="I98:I99" si="57">SUM(H98+F98)</f>
        <v>1197.5999999999999</v>
      </c>
      <c r="J98" s="21"/>
      <c r="K98" s="197" t="s">
        <v>187</v>
      </c>
      <c r="L98" s="68"/>
    </row>
    <row r="99" spans="1:16" ht="21.75" customHeight="1">
      <c r="A99" s="295"/>
      <c r="B99" s="296" t="s">
        <v>169</v>
      </c>
      <c r="C99" s="222">
        <v>60</v>
      </c>
      <c r="D99" s="20" t="s">
        <v>26</v>
      </c>
      <c r="E99" s="203">
        <v>15.75</v>
      </c>
      <c r="F99" s="203">
        <f t="shared" si="55"/>
        <v>945</v>
      </c>
      <c r="G99" s="203">
        <v>23</v>
      </c>
      <c r="H99" s="203">
        <f t="shared" si="56"/>
        <v>1380</v>
      </c>
      <c r="I99" s="275">
        <f t="shared" si="57"/>
        <v>2325</v>
      </c>
      <c r="J99" s="208"/>
      <c r="L99" s="68"/>
    </row>
    <row r="100" spans="1:16" s="67" customFormat="1" ht="21.75" customHeight="1">
      <c r="A100" s="182"/>
      <c r="B100" s="183" t="s">
        <v>86</v>
      </c>
      <c r="C100" s="184"/>
      <c r="D100" s="185"/>
      <c r="E100" s="186"/>
      <c r="F100" s="186"/>
      <c r="G100" s="186"/>
      <c r="H100" s="184"/>
      <c r="I100" s="184">
        <f>SUM(I95:I99)</f>
        <v>14484.6</v>
      </c>
      <c r="J100" s="184"/>
      <c r="L100" s="136"/>
      <c r="N100" s="138"/>
      <c r="P100" s="138"/>
    </row>
    <row r="101" spans="1:16" s="67" customFormat="1" ht="21.75" customHeight="1">
      <c r="A101" s="57"/>
      <c r="B101" s="57" t="s">
        <v>192</v>
      </c>
      <c r="C101" s="187"/>
      <c r="D101" s="57"/>
      <c r="E101" s="188"/>
      <c r="F101" s="188"/>
      <c r="G101" s="188"/>
      <c r="H101" s="188"/>
      <c r="I101" s="188">
        <f>I14+I32+I49+I61+I75+I82+I93+I100</f>
        <v>1225162.7906500001</v>
      </c>
      <c r="J101" s="189"/>
      <c r="L101" s="137"/>
      <c r="N101" s="138"/>
      <c r="P101" s="138"/>
    </row>
  </sheetData>
  <mergeCells count="11">
    <mergeCell ref="H1:J1"/>
    <mergeCell ref="H2:J2"/>
    <mergeCell ref="A1:C1"/>
    <mergeCell ref="H3:J3"/>
    <mergeCell ref="J4:J5"/>
    <mergeCell ref="A4:A5"/>
    <mergeCell ref="B4:B5"/>
    <mergeCell ref="C4:C5"/>
    <mergeCell ref="D4:D5"/>
    <mergeCell ref="E4:F4"/>
    <mergeCell ref="G4:H4"/>
  </mergeCells>
  <phoneticPr fontId="0" type="noConversion"/>
  <hyperlinks>
    <hyperlink ref="K64" display="https://www.thaiwatsadu.com/th/product/%E0%B8%AD%E0%B8%B4%E0%B8%90%E0%B8%A1%E0%B8%A7%E0%B8%A5%E0%B9%80%E0%B8%9A%E0%B8%B2-TPI-%E0%B8%82%E0%B8%99%E0%B8%B2%E0%B8%94-20-x-60-x-75-%E0%B8%8B%E0%B8%A1-60251181?gad_source=1&amp;gclid=EAIaIQobChMIyZGkkrG0hgMVFZlQBh3Ok"/>
    <hyperlink ref="K98" r:id="rId1"/>
    <hyperlink ref="K95" r:id="rId2"/>
  </hyperlinks>
  <printOptions horizontalCentered="1"/>
  <pageMargins left="0.59055118110236227" right="0.31496062992125984" top="0.19685039370078741" bottom="0.19685039370078741" header="0.31496062992125984" footer="0.51181102362204722"/>
  <pageSetup paperSize="9" scale="88" fitToHeight="0" orientation="landscape" horizontalDpi="300" verticalDpi="300" r:id="rId3"/>
  <headerFooter scaleWithDoc="0">
    <oddHeader>&amp;R&amp;"TH SarabunPSK,ธรรมดา"&amp;14แบบ ปร.4  แผ่นที่ 2/4</oddHeader>
    <oddFooter xml:space="preserve">&amp;C&amp;"TH SarabunPSK,ธรรมดา"&amp;14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5"/>
  <sheetViews>
    <sheetView topLeftCell="A13" workbookViewId="0">
      <selection activeCell="L12" sqref="K11:L12"/>
    </sheetView>
  </sheetViews>
  <sheetFormatPr defaultColWidth="9.140625" defaultRowHeight="18.75"/>
  <cols>
    <col min="1" max="1" width="20" style="48" customWidth="1"/>
    <col min="2" max="2" width="22.85546875" style="48" customWidth="1"/>
    <col min="3" max="3" width="12.7109375" style="48" customWidth="1"/>
    <col min="4" max="4" width="21.7109375" style="48" customWidth="1"/>
    <col min="5" max="5" width="18" style="48" customWidth="1"/>
    <col min="6" max="6" width="10.28515625" style="48" customWidth="1"/>
    <col min="7" max="8" width="9.140625" style="48" customWidth="1"/>
    <col min="9" max="9" width="3.85546875" style="48" customWidth="1"/>
    <col min="10" max="10" width="19" style="48" customWidth="1"/>
    <col min="11" max="11" width="10.28515625" style="48" customWidth="1"/>
    <col min="12" max="12" width="16.85546875" style="48" customWidth="1"/>
    <col min="13" max="16384" width="9.140625" style="48"/>
  </cols>
  <sheetData>
    <row r="1" spans="1:6" ht="21">
      <c r="A1" s="329"/>
      <c r="B1" s="329"/>
    </row>
    <row r="2" spans="1:6" ht="26.25">
      <c r="A2" s="330" t="s">
        <v>36</v>
      </c>
      <c r="B2" s="331"/>
      <c r="C2" s="331"/>
      <c r="D2" s="331"/>
      <c r="E2" s="331"/>
      <c r="F2" s="332"/>
    </row>
    <row r="3" spans="1:6" ht="21">
      <c r="A3" s="333" t="s">
        <v>37</v>
      </c>
      <c r="B3" s="334"/>
      <c r="C3" s="335" t="s">
        <v>38</v>
      </c>
      <c r="D3" s="336"/>
      <c r="E3" s="336"/>
      <c r="F3" s="337"/>
    </row>
    <row r="4" spans="1:6" ht="26.25" customHeight="1">
      <c r="A4" s="95" t="s">
        <v>39</v>
      </c>
      <c r="B4" s="96">
        <v>0</v>
      </c>
      <c r="C4" s="97" t="s">
        <v>68</v>
      </c>
      <c r="D4" s="98"/>
      <c r="E4" s="98"/>
      <c r="F4" s="50"/>
    </row>
    <row r="5" spans="1:6" ht="31.5" customHeight="1">
      <c r="A5" s="95" t="s">
        <v>40</v>
      </c>
      <c r="B5" s="96">
        <v>0</v>
      </c>
      <c r="C5" s="99" t="s">
        <v>90</v>
      </c>
      <c r="D5" s="100"/>
      <c r="E5" s="101"/>
      <c r="F5" s="50"/>
    </row>
    <row r="6" spans="1:6" ht="21">
      <c r="A6" s="95" t="s">
        <v>41</v>
      </c>
      <c r="B6" s="96">
        <v>7.0000000000000007E-2</v>
      </c>
      <c r="C6" s="98"/>
      <c r="D6" s="98"/>
      <c r="E6" s="98"/>
      <c r="F6" s="50"/>
    </row>
    <row r="7" spans="1:6" ht="32.25" customHeight="1">
      <c r="A7" s="95" t="s">
        <v>42</v>
      </c>
      <c r="B7" s="96">
        <v>7.0000000000000007E-2</v>
      </c>
      <c r="C7" s="102" t="s">
        <v>55</v>
      </c>
      <c r="D7" s="338" t="s">
        <v>43</v>
      </c>
      <c r="E7" s="338"/>
      <c r="F7" s="50"/>
    </row>
    <row r="8" spans="1:6" ht="16.5" customHeight="1" thickBot="1">
      <c r="A8" s="51"/>
      <c r="B8" s="103"/>
      <c r="C8" s="98"/>
      <c r="D8" s="98"/>
      <c r="E8" s="98"/>
      <c r="F8" s="50"/>
    </row>
    <row r="9" spans="1:6" ht="21.75" thickTop="1">
      <c r="A9" s="104" t="s">
        <v>44</v>
      </c>
      <c r="B9" s="105" t="s">
        <v>10</v>
      </c>
      <c r="C9" s="106" t="s">
        <v>45</v>
      </c>
      <c r="D9" s="107">
        <f>LARGE(A11:A33,COUNTIF(A11:A33,"&gt;"&amp;D10)+1)</f>
        <v>1000000</v>
      </c>
      <c r="E9" s="49" t="s">
        <v>46</v>
      </c>
      <c r="F9" s="108"/>
    </row>
    <row r="10" spans="1:6" ht="24" thickBot="1">
      <c r="A10" s="109" t="s">
        <v>47</v>
      </c>
      <c r="B10" s="103"/>
      <c r="C10" s="106" t="s">
        <v>48</v>
      </c>
      <c r="D10" s="110">
        <f>'ปร.5(งานอาคาร)'!C18</f>
        <v>1225162.7906500001</v>
      </c>
      <c r="E10" s="49" t="s">
        <v>69</v>
      </c>
      <c r="F10" s="108"/>
    </row>
    <row r="11" spans="1:6" ht="21.75" thickTop="1">
      <c r="A11" s="111">
        <v>500000</v>
      </c>
      <c r="B11" s="112">
        <v>1.3090999999999999</v>
      </c>
      <c r="C11" s="106" t="s">
        <v>49</v>
      </c>
      <c r="D11" s="107">
        <f>SMALL(A11:A33,COUNTIF(A11:A33,"&lt;"&amp;D10)+1)</f>
        <v>2000000</v>
      </c>
      <c r="E11" s="49" t="s">
        <v>50</v>
      </c>
      <c r="F11" s="108"/>
    </row>
    <row r="12" spans="1:6" ht="21">
      <c r="A12" s="111">
        <v>1000000</v>
      </c>
      <c r="B12" s="113">
        <v>1.3067</v>
      </c>
      <c r="C12" s="49"/>
      <c r="D12" s="49"/>
      <c r="E12" s="49"/>
      <c r="F12" s="108"/>
    </row>
    <row r="13" spans="1:6" ht="24">
      <c r="A13" s="111">
        <v>2000000</v>
      </c>
      <c r="B13" s="114">
        <v>1.3050999999999999</v>
      </c>
      <c r="C13" s="106" t="s">
        <v>51</v>
      </c>
      <c r="D13" s="115">
        <f>INDEX(B11:B33,MATCH(D9,A11:A33,0))</f>
        <v>1.3067</v>
      </c>
      <c r="E13" s="49" t="s">
        <v>52</v>
      </c>
      <c r="F13" s="108"/>
    </row>
    <row r="14" spans="1:6" ht="24.75" thickBot="1">
      <c r="A14" s="111">
        <v>5000000</v>
      </c>
      <c r="B14" s="114">
        <v>1.302</v>
      </c>
      <c r="C14" s="106" t="s">
        <v>53</v>
      </c>
      <c r="D14" s="115">
        <f>INDEX(B11:B33,MATCH(D11,A11:A33,0))</f>
        <v>1.3050999999999999</v>
      </c>
      <c r="E14" s="49" t="s">
        <v>54</v>
      </c>
      <c r="F14" s="108"/>
    </row>
    <row r="15" spans="1:6" ht="24" customHeight="1" thickTop="1" thickBot="1">
      <c r="A15" s="111">
        <v>10000000</v>
      </c>
      <c r="B15" s="114">
        <v>1.296</v>
      </c>
      <c r="C15" s="106" t="s">
        <v>55</v>
      </c>
      <c r="D15" s="116">
        <f>IF(D10&lt;500000,B11,IF(D10&gt;500000000,B34,IF(D13=D14,D13,TRUNC(D13-(((D13-D14)*(D10-D9))/(D11-D9)),4))))</f>
        <v>1.3063</v>
      </c>
      <c r="E15" s="117" t="s">
        <v>56</v>
      </c>
      <c r="F15" s="108"/>
    </row>
    <row r="16" spans="1:6" ht="21.75" thickTop="1">
      <c r="A16" s="111">
        <v>15000000</v>
      </c>
      <c r="B16" s="114">
        <v>1.2611000000000001</v>
      </c>
      <c r="C16" s="118"/>
      <c r="D16" s="119"/>
      <c r="E16" s="117"/>
      <c r="F16" s="108"/>
    </row>
    <row r="17" spans="1:6" ht="24">
      <c r="A17" s="111">
        <v>20000000</v>
      </c>
      <c r="B17" s="114">
        <v>1.2535000000000001</v>
      </c>
      <c r="C17" s="326"/>
      <c r="D17" s="327"/>
      <c r="E17" s="327"/>
      <c r="F17" s="328"/>
    </row>
    <row r="18" spans="1:6" ht="21">
      <c r="A18" s="111">
        <v>25000000</v>
      </c>
      <c r="B18" s="114">
        <v>1.2264999999999999</v>
      </c>
      <c r="C18" s="120"/>
      <c r="D18" s="121"/>
      <c r="E18" s="121"/>
      <c r="F18" s="122"/>
    </row>
    <row r="19" spans="1:6" ht="21">
      <c r="A19" s="111">
        <v>30000000</v>
      </c>
      <c r="B19" s="114">
        <v>1.2181</v>
      </c>
      <c r="C19" s="123"/>
      <c r="D19" s="124"/>
      <c r="E19" s="124"/>
      <c r="F19" s="124"/>
    </row>
    <row r="20" spans="1:6" ht="26.25" customHeight="1">
      <c r="A20" s="111">
        <v>40000000</v>
      </c>
      <c r="B20" s="114">
        <v>1.2177</v>
      </c>
    </row>
    <row r="21" spans="1:6" ht="21">
      <c r="A21" s="111">
        <v>50000000</v>
      </c>
      <c r="B21" s="114">
        <v>1.2176</v>
      </c>
    </row>
    <row r="22" spans="1:6" s="53" customFormat="1" ht="21">
      <c r="A22" s="111">
        <v>60000000</v>
      </c>
      <c r="B22" s="114">
        <v>1.2078</v>
      </c>
      <c r="D22" s="48"/>
    </row>
    <row r="23" spans="1:6" s="53" customFormat="1" ht="21">
      <c r="A23" s="111">
        <v>70000000</v>
      </c>
      <c r="B23" s="114">
        <v>1.2067000000000001</v>
      </c>
    </row>
    <row r="24" spans="1:6" s="53" customFormat="1" ht="21">
      <c r="A24" s="111">
        <v>80000000</v>
      </c>
      <c r="B24" s="114">
        <v>1.2067000000000001</v>
      </c>
      <c r="C24" s="54"/>
      <c r="D24" s="55"/>
      <c r="E24" s="56"/>
    </row>
    <row r="25" spans="1:6" s="53" customFormat="1" ht="21">
      <c r="A25" s="111">
        <v>90000000</v>
      </c>
      <c r="B25" s="114">
        <v>1.2065999999999999</v>
      </c>
    </row>
    <row r="26" spans="1:6" s="53" customFormat="1" ht="21">
      <c r="A26" s="111">
        <v>100000000</v>
      </c>
      <c r="B26" s="114">
        <v>1.2065999999999999</v>
      </c>
      <c r="F26" s="56"/>
    </row>
    <row r="27" spans="1:6" s="53" customFormat="1" ht="21">
      <c r="A27" s="111">
        <v>150000000</v>
      </c>
      <c r="B27" s="114">
        <v>1.2039</v>
      </c>
    </row>
    <row r="28" spans="1:6" s="53" customFormat="1" ht="21">
      <c r="A28" s="111">
        <v>200000000</v>
      </c>
      <c r="B28" s="114">
        <v>1.2039</v>
      </c>
      <c r="F28" s="56"/>
    </row>
    <row r="29" spans="1:6" s="53" customFormat="1" ht="21">
      <c r="A29" s="111">
        <v>250000000</v>
      </c>
      <c r="B29" s="114">
        <v>1.2031000000000001</v>
      </c>
    </row>
    <row r="30" spans="1:6" s="53" customFormat="1" ht="21">
      <c r="A30" s="111">
        <v>300000000</v>
      </c>
      <c r="B30" s="114">
        <v>1.1969000000000001</v>
      </c>
      <c r="F30" s="56"/>
    </row>
    <row r="31" spans="1:6" s="53" customFormat="1" ht="21">
      <c r="A31" s="111">
        <v>350000000</v>
      </c>
      <c r="B31" s="114">
        <v>1.1883999999999999</v>
      </c>
    </row>
    <row r="32" spans="1:6" s="53" customFormat="1" ht="21">
      <c r="A32" s="111">
        <v>400000000</v>
      </c>
      <c r="B32" s="114">
        <v>1.1877</v>
      </c>
      <c r="F32" s="56"/>
    </row>
    <row r="33" spans="1:6" s="53" customFormat="1" ht="21">
      <c r="A33" s="111">
        <v>500000000</v>
      </c>
      <c r="B33" s="114">
        <v>1.1880999999999999</v>
      </c>
    </row>
    <row r="34" spans="1:6" s="53" customFormat="1" ht="30" customHeight="1">
      <c r="A34" s="125" t="s">
        <v>70</v>
      </c>
      <c r="B34" s="114">
        <v>1.1805000000000001</v>
      </c>
    </row>
    <row r="35" spans="1:6" ht="21">
      <c r="A35" s="126"/>
      <c r="B35" s="127"/>
      <c r="F35" s="52"/>
    </row>
  </sheetData>
  <sheetProtection sheet="1" objects="1" scenarios="1"/>
  <mergeCells count="6">
    <mergeCell ref="C17:F17"/>
    <mergeCell ref="A1:B1"/>
    <mergeCell ref="A2:F2"/>
    <mergeCell ref="A3:B3"/>
    <mergeCell ref="C3:F3"/>
    <mergeCell ref="D7:E7"/>
  </mergeCells>
  <pageMargins left="0.59055118110236227" right="0.39370078740157483" top="0.74803149606299213" bottom="0.74803149606299213" header="0.31496062992125984" footer="0.31496062992125984"/>
  <pageSetup paperSize="9" scale="8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2010-05-20T03:11:50Z</outs:dateTime>
      <outs:isPinned>true</outs:isPinned>
    </outs:relatedDate>
    <outs:relatedDate>
      <outs:type>2</outs:type>
      <outs:displayName>Created</outs:displayName>
      <outs:dateTime>2008-01-20T01:54:11Z</outs:dateTime>
      <outs:isPinned>true</outs:isPinned>
    </outs:relatedDate>
    <outs:relatedDate>
      <outs:type>4</outs:type>
      <outs:displayName>Last Printed</outs:displayName>
      <outs:dateTime>2009-07-15T09:57:43Z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iLLuSioN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bk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EA327E3C-D933-4872-A02D-C01F7A4F3E1F}">
  <ds:schemaRefs>
    <ds:schemaRef ds:uri="http://schemas.microsoft.com/office/2009/outspace/metadata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ปร.5(งานอาคาร)</vt:lpstr>
      <vt:lpstr>ปร. 4(งานอาคาร)</vt:lpstr>
      <vt:lpstr>Factor F </vt:lpstr>
      <vt:lpstr>'ปร. 4(งานอาคาร)'!Print_Area</vt:lpstr>
      <vt:lpstr>'ปร.5(งานอาคาร)'!Print_Area</vt:lpstr>
      <vt:lpstr>'ปร. 4(งานอาคาร)'!Print_Titles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COM</cp:lastModifiedBy>
  <cp:lastPrinted>2024-05-30T03:29:19Z</cp:lastPrinted>
  <dcterms:created xsi:type="dcterms:W3CDTF">2008-01-20T01:54:11Z</dcterms:created>
  <dcterms:modified xsi:type="dcterms:W3CDTF">2024-05-31T04:08:40Z</dcterms:modified>
</cp:coreProperties>
</file>