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60" windowWidth="15480" windowHeight="7395"/>
  </bookViews>
  <sheets>
    <sheet name="31 ต.ค.58(งบเดือน)" sheetId="46" r:id="rId1"/>
    <sheet name="ฐานะฯ31ต.ค.58(งบเดือน)" sheetId="45" r:id="rId2"/>
    <sheet name="30 ก.ย.58(งบเดือน)(ปป.)" sheetId="44" r:id="rId3"/>
    <sheet name="ฐานะฯ30 ก.ย.58(งบเดือน)(ปป.)" sheetId="43" r:id="rId4"/>
    <sheet name="30 ก.ย.58(งบเดือน)" sheetId="42" r:id="rId5"/>
    <sheet name="ฐานะฯ30 ก.ย.58(งบเดือน)" sheetId="41" r:id="rId6"/>
    <sheet name="31ส.ค.58(งบเดือน)" sheetId="40" r:id="rId7"/>
    <sheet name="ฐานะฯ31ส.ค.58(งบเดือน)" sheetId="39" r:id="rId8"/>
    <sheet name="31ก.ค.58(งบเดือน) (2)" sheetId="37" r:id="rId9"/>
    <sheet name="ฐานะฯ31ก.ค.58(งบเดือน)" sheetId="38" r:id="rId10"/>
    <sheet name="30 มิ.ย58(งบเดือน)" sheetId="36" r:id="rId11"/>
    <sheet name="ฐานะฯ30 มิย58(งบเดือน)" sheetId="35" r:id="rId12"/>
    <sheet name="31พค58(งบเดือน)" sheetId="34" r:id="rId13"/>
    <sheet name="ฐานะฯ31พค58(งบเดือน)" sheetId="33" r:id="rId14"/>
    <sheet name="30เมย58(งบเดือน)" sheetId="32" r:id="rId15"/>
    <sheet name="ฐานะฯ30เมษ58(งบเดือน)" sheetId="31" r:id="rId16"/>
    <sheet name="31มี.ค.58(งบเดือน) " sheetId="30" r:id="rId17"/>
    <sheet name="ฐานะฯ31 มีค.58(งบเดือน) " sheetId="29" r:id="rId18"/>
    <sheet name="28ก.พ.58(งบเดือน)" sheetId="28" r:id="rId19"/>
    <sheet name="ฐานะฯ28 ก.พ.58(งบเดือน)" sheetId="27" r:id="rId20"/>
    <sheet name="31ม.ค.58(งบเดือน)" sheetId="26" r:id="rId21"/>
    <sheet name="ฐานะฯ31ม.ค.58(งบเดือน)" sheetId="25" r:id="rId22"/>
    <sheet name="31ธ.ค.57(งบเดือน)" sheetId="24" r:id="rId23"/>
    <sheet name="ฐานะฯ31ธ.ค.57(งบเดือน)" sheetId="23" r:id="rId24"/>
    <sheet name="30พ.ย.57(งบเดือน)" sheetId="22" r:id="rId25"/>
    <sheet name="ฐานะฯ30พ.ย.57(งบเดือน)" sheetId="21" r:id="rId26"/>
    <sheet name="31ต.ค.57(งบเดือน)" sheetId="20" r:id="rId27"/>
    <sheet name="ฐานะฯ31ต.ค.57(งบเดือน)" sheetId="19" r:id="rId28"/>
    <sheet name="30ก.ย.57(งบเดือนปป.)" sheetId="18" r:id="rId29"/>
    <sheet name="ฐานะฯ30ก.ย.57(งบเดือนปป.)" sheetId="17" r:id="rId30"/>
    <sheet name="30ก.ย.57(งบเดือน)" sheetId="16" r:id="rId31"/>
    <sheet name="ฐานะฯ30ก.ย.57(งบเดือน)" sheetId="15" r:id="rId32"/>
    <sheet name="31สิงหาคม57(งบเดือน)" sheetId="14" r:id="rId33"/>
    <sheet name="ฐานะฯ31ส.ค.57(งบเดือน)" sheetId="13" r:id="rId34"/>
    <sheet name="31กรกฎาคม57(งบเดือน)" sheetId="12" r:id="rId35"/>
    <sheet name="ฐานะฯ31ก.ค.57(งบเดือน)" sheetId="11" r:id="rId36"/>
    <sheet name="30มิถุนายน57เงินคงเหลือ" sheetId="10" r:id="rId37"/>
    <sheet name="ฐานะฯ30มิย.57(งบเดือน)" sheetId="9" r:id="rId38"/>
    <sheet name="ฐานะฯ31พ.ค.57(งบเดือน)" sheetId="7" r:id="rId39"/>
    <sheet name="31 พฤษภาคม57เงินคงเหลือ" sheetId="8" r:id="rId40"/>
    <sheet name="ฐานะฯ30เมษ.57(งบเดือน)" sheetId="6" r:id="rId41"/>
    <sheet name="30เมษายน57เงินคงเหลือ" sheetId="3" r:id="rId42"/>
    <sheet name="31มีนาคม57เงินคงเหลือ" sheetId="2" r:id="rId43"/>
    <sheet name="ฐานะฯ31 มี.ค.57(งบเดือน)" sheetId="1" r:id="rId44"/>
  </sheets>
  <definedNames>
    <definedName name="_xlnm.Print_Area" localSheetId="19">'ฐานะฯ28 ก.พ.58(งบเดือน)'!$A$1:$K$86</definedName>
    <definedName name="_xlnm.Print_Area" localSheetId="5">'ฐานะฯ30 ก.ย.58(งบเดือน)'!$A$1:$K$86</definedName>
    <definedName name="_xlnm.Print_Area" localSheetId="3">'ฐานะฯ30 ก.ย.58(งบเดือน)(ปป.)'!$A$1:$K$86</definedName>
    <definedName name="_xlnm.Print_Area" localSheetId="11">'ฐานะฯ30 มิย58(งบเดือน)'!$A$1:$K$86</definedName>
    <definedName name="_xlnm.Print_Area" localSheetId="31">'ฐานะฯ30ก.ย.57(งบเดือน)'!$A$1:$K$82</definedName>
    <definedName name="_xlnm.Print_Area" localSheetId="29">'ฐานะฯ30ก.ย.57(งบเดือนปป.)'!$A$1:$K$110</definedName>
    <definedName name="_xlnm.Print_Area" localSheetId="25">'ฐานะฯ30พ.ย.57(งบเดือน)'!$A$1:$K$86</definedName>
    <definedName name="_xlnm.Print_Area" localSheetId="37">'ฐานะฯ30มิย.57(งบเดือน)'!$A$1:$K$82</definedName>
    <definedName name="_xlnm.Print_Area" localSheetId="40">'ฐานะฯ30เมษ.57(งบเดือน)'!$A$1:$K$82</definedName>
    <definedName name="_xlnm.Print_Area" localSheetId="15">'ฐานะฯ30เมษ58(งบเดือน)'!$A$1:$K$86</definedName>
    <definedName name="_xlnm.Print_Area" localSheetId="43">'ฐานะฯ31 มี.ค.57(งบเดือน)'!$A$1:$K$82</definedName>
    <definedName name="_xlnm.Print_Area" localSheetId="17">'ฐานะฯ31 มีค.58(งบเดือน) '!$A$1:$K$86</definedName>
    <definedName name="_xlnm.Print_Area" localSheetId="35">'ฐานะฯ31ก.ค.57(งบเดือน)'!$A$1:$K$82</definedName>
    <definedName name="_xlnm.Print_Area" localSheetId="9">'ฐานะฯ31ก.ค.58(งบเดือน)'!$A$1:$K$86</definedName>
    <definedName name="_xlnm.Print_Area" localSheetId="27">'ฐานะฯ31ต.ค.57(งบเดือน)'!$A$1:$K$86</definedName>
    <definedName name="_xlnm.Print_Area" localSheetId="1">'ฐานะฯ31ต.ค.58(งบเดือน)'!$A$1:$K$91</definedName>
    <definedName name="_xlnm.Print_Area" localSheetId="23">'ฐานะฯ31ธ.ค.57(งบเดือน)'!$A$1:$K$86</definedName>
    <definedName name="_xlnm.Print_Area" localSheetId="38">'ฐานะฯ31พ.ค.57(งบเดือน)'!$A$1:$K$82</definedName>
    <definedName name="_xlnm.Print_Area" localSheetId="13">'ฐานะฯ31พค58(งบเดือน)'!$A$1:$K$86</definedName>
    <definedName name="_xlnm.Print_Area" localSheetId="21">'ฐานะฯ31ม.ค.58(งบเดือน)'!$A$1:$K$86</definedName>
    <definedName name="_xlnm.Print_Area" localSheetId="33">'ฐานะฯ31ส.ค.57(งบเดือน)'!$A$1:$K$82</definedName>
    <definedName name="_xlnm.Print_Area" localSheetId="7">'ฐานะฯ31ส.ค.58(งบเดือน)'!$A$1:$K$86</definedName>
  </definedNames>
  <calcPr calcId="124519"/>
</workbook>
</file>

<file path=xl/calcChain.xml><?xml version="1.0" encoding="utf-8"?>
<calcChain xmlns="http://schemas.openxmlformats.org/spreadsheetml/2006/main">
  <c r="G42" i="46"/>
  <c r="H76" i="45"/>
  <c r="H74"/>
  <c r="K74" s="1"/>
  <c r="K75" s="1"/>
  <c r="I74"/>
  <c r="H42" i="46"/>
  <c r="G70" i="45"/>
  <c r="K70" s="1"/>
  <c r="G43" i="46"/>
  <c r="H43"/>
  <c r="J15" i="45"/>
  <c r="K15" s="1"/>
  <c r="K87" s="1"/>
  <c r="G29" i="46"/>
  <c r="U29" s="1"/>
  <c r="G38"/>
  <c r="G37"/>
  <c r="G36"/>
  <c r="G27"/>
  <c r="H29" s="1"/>
  <c r="H38"/>
  <c r="H34"/>
  <c r="H32"/>
  <c r="K73" i="45"/>
  <c r="K72"/>
  <c r="H26" i="46"/>
  <c r="T12"/>
  <c r="N12"/>
  <c r="S7"/>
  <c r="P7"/>
  <c r="N6"/>
  <c r="T5"/>
  <c r="N5"/>
  <c r="N4"/>
  <c r="J3"/>
  <c r="J18" s="1"/>
  <c r="I114" i="45"/>
  <c r="H114"/>
  <c r="J114" s="1"/>
  <c r="G114"/>
  <c r="J113"/>
  <c r="J112"/>
  <c r="J115" s="1"/>
  <c r="I109"/>
  <c r="H109"/>
  <c r="G109"/>
  <c r="J109" s="1"/>
  <c r="H108"/>
  <c r="G108"/>
  <c r="J108" s="1"/>
  <c r="J107"/>
  <c r="I107"/>
  <c r="G107"/>
  <c r="F105"/>
  <c r="J98" s="1"/>
  <c r="K98" s="1"/>
  <c r="F104"/>
  <c r="F101"/>
  <c r="F100"/>
  <c r="H98"/>
  <c r="G98"/>
  <c r="J88"/>
  <c r="K81"/>
  <c r="K82" s="1"/>
  <c r="K80"/>
  <c r="V77"/>
  <c r="K77"/>
  <c r="W77"/>
  <c r="K76"/>
  <c r="F32" s="1"/>
  <c r="R70"/>
  <c r="R69"/>
  <c r="K69"/>
  <c r="Q68"/>
  <c r="R68"/>
  <c r="K68"/>
  <c r="X77"/>
  <c r="K66"/>
  <c r="K65"/>
  <c r="K64"/>
  <c r="K67" s="1"/>
  <c r="F38" s="1"/>
  <c r="K62"/>
  <c r="K61"/>
  <c r="K60"/>
  <c r="K59"/>
  <c r="K57"/>
  <c r="K56"/>
  <c r="K55"/>
  <c r="K54"/>
  <c r="R53"/>
  <c r="K52"/>
  <c r="K51"/>
  <c r="K50"/>
  <c r="J49"/>
  <c r="I49"/>
  <c r="K49" s="1"/>
  <c r="G49"/>
  <c r="K47"/>
  <c r="K46"/>
  <c r="K45"/>
  <c r="J44"/>
  <c r="G44"/>
  <c r="K44" s="1"/>
  <c r="K48" s="1"/>
  <c r="K43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H15"/>
  <c r="D15"/>
  <c r="O14"/>
  <c r="K14"/>
  <c r="H14"/>
  <c r="D14"/>
  <c r="O13"/>
  <c r="K13"/>
  <c r="H13"/>
  <c r="D13"/>
  <c r="O12"/>
  <c r="K12"/>
  <c r="H12"/>
  <c r="D12"/>
  <c r="O11"/>
  <c r="K11"/>
  <c r="H11"/>
  <c r="H9" s="1"/>
  <c r="D11"/>
  <c r="K10"/>
  <c r="H10"/>
  <c r="C10"/>
  <c r="C22" s="1"/>
  <c r="B10"/>
  <c r="B22" s="1"/>
  <c r="M9"/>
  <c r="I9"/>
  <c r="G9"/>
  <c r="D9"/>
  <c r="C9"/>
  <c r="K8"/>
  <c r="K86" s="1"/>
  <c r="H8"/>
  <c r="K7"/>
  <c r="H7"/>
  <c r="D7"/>
  <c r="M6"/>
  <c r="K6"/>
  <c r="K85" s="1"/>
  <c r="H6"/>
  <c r="D6"/>
  <c r="K5"/>
  <c r="H5"/>
  <c r="D5"/>
  <c r="J4"/>
  <c r="I4"/>
  <c r="I19" s="1"/>
  <c r="G4"/>
  <c r="F4"/>
  <c r="D4"/>
  <c r="G45" i="44"/>
  <c r="G46" s="1"/>
  <c r="G40"/>
  <c r="G38"/>
  <c r="G37"/>
  <c r="H40" s="1"/>
  <c r="N35"/>
  <c r="G33"/>
  <c r="G32"/>
  <c r="H35" s="1"/>
  <c r="I40" s="1"/>
  <c r="J12" s="1"/>
  <c r="H29"/>
  <c r="G29"/>
  <c r="U29" s="1"/>
  <c r="G27"/>
  <c r="H26"/>
  <c r="I29" s="1"/>
  <c r="T12"/>
  <c r="N12"/>
  <c r="S7"/>
  <c r="P7"/>
  <c r="N6"/>
  <c r="T5"/>
  <c r="N5"/>
  <c r="N4"/>
  <c r="J3"/>
  <c r="J18" s="1"/>
  <c r="I109" i="43"/>
  <c r="H109"/>
  <c r="G109"/>
  <c r="J109" s="1"/>
  <c r="J108"/>
  <c r="J107"/>
  <c r="J110" s="1"/>
  <c r="I104"/>
  <c r="H104"/>
  <c r="G104"/>
  <c r="J104" s="1"/>
  <c r="J103"/>
  <c r="H103"/>
  <c r="G103"/>
  <c r="J102"/>
  <c r="J106" s="1"/>
  <c r="I102"/>
  <c r="G102"/>
  <c r="F99"/>
  <c r="F96"/>
  <c r="F100" s="1"/>
  <c r="F95"/>
  <c r="H93"/>
  <c r="G93"/>
  <c r="J83"/>
  <c r="K81"/>
  <c r="K77"/>
  <c r="K76"/>
  <c r="K75"/>
  <c r="K72"/>
  <c r="I71"/>
  <c r="G71"/>
  <c r="K71" s="1"/>
  <c r="F32" s="1"/>
  <c r="R69"/>
  <c r="H69"/>
  <c r="K69" s="1"/>
  <c r="R68"/>
  <c r="H68"/>
  <c r="K68" s="1"/>
  <c r="J67"/>
  <c r="W72"/>
  <c r="H67"/>
  <c r="Q67" s="1"/>
  <c r="K65"/>
  <c r="G65"/>
  <c r="K64"/>
  <c r="K63"/>
  <c r="K61"/>
  <c r="K60"/>
  <c r="K59"/>
  <c r="K58"/>
  <c r="K56"/>
  <c r="K55"/>
  <c r="K54"/>
  <c r="M56" s="1"/>
  <c r="K53"/>
  <c r="L56" s="1"/>
  <c r="R52"/>
  <c r="K51"/>
  <c r="K50"/>
  <c r="K49"/>
  <c r="J48"/>
  <c r="I48"/>
  <c r="G48"/>
  <c r="K48" s="1"/>
  <c r="K46"/>
  <c r="K45"/>
  <c r="K44"/>
  <c r="J43"/>
  <c r="G43"/>
  <c r="K43" s="1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J15"/>
  <c r="K15" s="1"/>
  <c r="H15"/>
  <c r="F15"/>
  <c r="D15"/>
  <c r="O14"/>
  <c r="K14"/>
  <c r="H14"/>
  <c r="D14"/>
  <c r="O13"/>
  <c r="K13"/>
  <c r="H13"/>
  <c r="D13"/>
  <c r="O12"/>
  <c r="K12"/>
  <c r="H12"/>
  <c r="D12"/>
  <c r="O11"/>
  <c r="D10" s="1"/>
  <c r="K11"/>
  <c r="H11"/>
  <c r="D11"/>
  <c r="K10"/>
  <c r="H10"/>
  <c r="H9" s="1"/>
  <c r="C10"/>
  <c r="B10"/>
  <c r="B22" s="1"/>
  <c r="M9"/>
  <c r="I9"/>
  <c r="I19" s="1"/>
  <c r="G9"/>
  <c r="F9"/>
  <c r="D9"/>
  <c r="C9" s="1"/>
  <c r="C22" s="1"/>
  <c r="K8"/>
  <c r="H8"/>
  <c r="K7"/>
  <c r="H7"/>
  <c r="D7"/>
  <c r="M6"/>
  <c r="K6"/>
  <c r="K80" s="1"/>
  <c r="J6"/>
  <c r="J4" s="1"/>
  <c r="F6"/>
  <c r="H6" s="1"/>
  <c r="H4" s="1"/>
  <c r="H19" s="1"/>
  <c r="D6"/>
  <c r="K5"/>
  <c r="K79" s="1"/>
  <c r="J5"/>
  <c r="H5"/>
  <c r="D5"/>
  <c r="I4"/>
  <c r="G4"/>
  <c r="G19" s="1"/>
  <c r="D4"/>
  <c r="I69" i="41"/>
  <c r="G71"/>
  <c r="I71"/>
  <c r="K71" s="1"/>
  <c r="F32" s="1"/>
  <c r="K69"/>
  <c r="G39" i="42"/>
  <c r="G40"/>
  <c r="J69" i="41"/>
  <c r="J67"/>
  <c r="G38" i="42"/>
  <c r="G37"/>
  <c r="I68" i="41"/>
  <c r="K68" s="1"/>
  <c r="I67"/>
  <c r="H71"/>
  <c r="H69"/>
  <c r="H68"/>
  <c r="H67"/>
  <c r="J15"/>
  <c r="J6"/>
  <c r="J5"/>
  <c r="G35" i="42"/>
  <c r="G45" s="1"/>
  <c r="G46" s="1"/>
  <c r="G29"/>
  <c r="U29" s="1"/>
  <c r="G27"/>
  <c r="H29" s="1"/>
  <c r="N35"/>
  <c r="G33"/>
  <c r="H35" s="1"/>
  <c r="G32"/>
  <c r="H26"/>
  <c r="T12"/>
  <c r="N12"/>
  <c r="S7"/>
  <c r="P7"/>
  <c r="N6"/>
  <c r="T5"/>
  <c r="N5"/>
  <c r="N4"/>
  <c r="J3"/>
  <c r="J18" s="1"/>
  <c r="I109" i="41"/>
  <c r="H109"/>
  <c r="G109"/>
  <c r="J109" s="1"/>
  <c r="J110" s="1"/>
  <c r="J108"/>
  <c r="J107"/>
  <c r="J104"/>
  <c r="I104"/>
  <c r="H104"/>
  <c r="G104"/>
  <c r="J103"/>
  <c r="H103"/>
  <c r="G103"/>
  <c r="I102"/>
  <c r="J102" s="1"/>
  <c r="J106" s="1"/>
  <c r="J113" s="1"/>
  <c r="G102"/>
  <c r="F99"/>
  <c r="F96"/>
  <c r="F100" s="1"/>
  <c r="F95"/>
  <c r="H93"/>
  <c r="G93"/>
  <c r="J83"/>
  <c r="K76"/>
  <c r="K77" s="1"/>
  <c r="K75"/>
  <c r="K72"/>
  <c r="R68"/>
  <c r="W72"/>
  <c r="K67"/>
  <c r="J65"/>
  <c r="X72" s="1"/>
  <c r="G65"/>
  <c r="K65" s="1"/>
  <c r="K64"/>
  <c r="K63"/>
  <c r="K66" s="1"/>
  <c r="F38" s="1"/>
  <c r="K61"/>
  <c r="J61"/>
  <c r="K60"/>
  <c r="K59"/>
  <c r="K62" s="1"/>
  <c r="F37" s="1"/>
  <c r="K58"/>
  <c r="K56"/>
  <c r="K55"/>
  <c r="K54"/>
  <c r="K53"/>
  <c r="K57" s="1"/>
  <c r="F36" s="1"/>
  <c r="R52"/>
  <c r="K51"/>
  <c r="K50"/>
  <c r="K49"/>
  <c r="K48"/>
  <c r="M52" s="1"/>
  <c r="J48"/>
  <c r="I48"/>
  <c r="G48"/>
  <c r="K46"/>
  <c r="K45"/>
  <c r="K44"/>
  <c r="K43"/>
  <c r="K47" s="1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H15"/>
  <c r="F15"/>
  <c r="F9" s="1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H9" s="1"/>
  <c r="C10"/>
  <c r="B10"/>
  <c r="B22" s="1"/>
  <c r="F20" s="1"/>
  <c r="M9"/>
  <c r="I9"/>
  <c r="G9"/>
  <c r="D9"/>
  <c r="C9"/>
  <c r="K8"/>
  <c r="K81" s="1"/>
  <c r="H8"/>
  <c r="K7"/>
  <c r="H7"/>
  <c r="D7"/>
  <c r="M6"/>
  <c r="K6"/>
  <c r="H6"/>
  <c r="H4" s="1"/>
  <c r="H19" s="1"/>
  <c r="F6"/>
  <c r="D6"/>
  <c r="K5"/>
  <c r="K79" s="1"/>
  <c r="J4"/>
  <c r="H5"/>
  <c r="D5"/>
  <c r="I4"/>
  <c r="I19" s="1"/>
  <c r="G4"/>
  <c r="G19" s="1"/>
  <c r="F4"/>
  <c r="F19" s="1"/>
  <c r="D4"/>
  <c r="I67" i="39"/>
  <c r="H69"/>
  <c r="G38" i="40"/>
  <c r="H71" i="39"/>
  <c r="J67"/>
  <c r="H67"/>
  <c r="I68"/>
  <c r="G39" i="40"/>
  <c r="G37"/>
  <c r="J69" i="39"/>
  <c r="I69"/>
  <c r="I71"/>
  <c r="J5"/>
  <c r="G29" i="40"/>
  <c r="G40"/>
  <c r="G35"/>
  <c r="G27"/>
  <c r="G48" i="46" l="1"/>
  <c r="G49" s="1"/>
  <c r="J9" i="45"/>
  <c r="J19" s="1"/>
  <c r="I43" i="46"/>
  <c r="J12" s="1"/>
  <c r="J15" s="1"/>
  <c r="I29"/>
  <c r="K9" i="45"/>
  <c r="L57"/>
  <c r="K58"/>
  <c r="F36" s="1"/>
  <c r="K63"/>
  <c r="F37" s="1"/>
  <c r="K71"/>
  <c r="R71"/>
  <c r="F40"/>
  <c r="G19"/>
  <c r="G20" s="1"/>
  <c r="G22" s="1"/>
  <c r="H4"/>
  <c r="H19" s="1"/>
  <c r="D10"/>
  <c r="D22" s="1"/>
  <c r="F34"/>
  <c r="L52"/>
  <c r="K53"/>
  <c r="M53"/>
  <c r="J111"/>
  <c r="J118" s="1"/>
  <c r="K118" s="1"/>
  <c r="K4"/>
  <c r="K84"/>
  <c r="K88" s="1"/>
  <c r="F9"/>
  <c r="F19" s="1"/>
  <c r="T71"/>
  <c r="M57"/>
  <c r="K66" i="43"/>
  <c r="F38" s="1"/>
  <c r="K62"/>
  <c r="F37" s="1"/>
  <c r="J40" i="44"/>
  <c r="J41" s="1"/>
  <c r="J11"/>
  <c r="J14"/>
  <c r="J15"/>
  <c r="N14" s="1"/>
  <c r="L51" i="43"/>
  <c r="M52"/>
  <c r="K52"/>
  <c r="K83"/>
  <c r="K9"/>
  <c r="K82"/>
  <c r="G20"/>
  <c r="G22" s="1"/>
  <c r="D22"/>
  <c r="H20" s="1"/>
  <c r="K85" s="1"/>
  <c r="K47"/>
  <c r="J93"/>
  <c r="K93" s="1"/>
  <c r="J113"/>
  <c r="K113" s="1"/>
  <c r="J9"/>
  <c r="J19" s="1"/>
  <c r="K57"/>
  <c r="F36" s="1"/>
  <c r="K67"/>
  <c r="K70" s="1"/>
  <c r="F39" s="1"/>
  <c r="V72"/>
  <c r="R67"/>
  <c r="R70" s="1"/>
  <c r="T70"/>
  <c r="X72"/>
  <c r="K4"/>
  <c r="K19" s="1"/>
  <c r="F4"/>
  <c r="F19" s="1"/>
  <c r="F20" s="1"/>
  <c r="R69" i="41"/>
  <c r="H40" i="42"/>
  <c r="I40" s="1"/>
  <c r="J12" s="1"/>
  <c r="J15" s="1"/>
  <c r="K70" i="41"/>
  <c r="F39" s="1"/>
  <c r="D10"/>
  <c r="D22" s="1"/>
  <c r="H20" s="1"/>
  <c r="K85" s="1"/>
  <c r="C22"/>
  <c r="G20" s="1"/>
  <c r="G22" s="1"/>
  <c r="I29" i="42"/>
  <c r="J14" s="1"/>
  <c r="K80" i="41"/>
  <c r="K83" s="1"/>
  <c r="K4"/>
  <c r="F34"/>
  <c r="J19"/>
  <c r="K9"/>
  <c r="K82"/>
  <c r="J93"/>
  <c r="K93" s="1"/>
  <c r="K113"/>
  <c r="F22"/>
  <c r="Q67"/>
  <c r="K52"/>
  <c r="M56"/>
  <c r="V72"/>
  <c r="L51"/>
  <c r="L56"/>
  <c r="R67"/>
  <c r="R70" s="1"/>
  <c r="T70"/>
  <c r="J9"/>
  <c r="G45" i="40"/>
  <c r="G46" s="1"/>
  <c r="H40"/>
  <c r="N35"/>
  <c r="G33"/>
  <c r="G32"/>
  <c r="H35" s="1"/>
  <c r="U29"/>
  <c r="H29"/>
  <c r="I29" s="1"/>
  <c r="H26"/>
  <c r="T12"/>
  <c r="N12"/>
  <c r="S7"/>
  <c r="P7"/>
  <c r="N6"/>
  <c r="T5"/>
  <c r="N5"/>
  <c r="N4"/>
  <c r="J3"/>
  <c r="J18" s="1"/>
  <c r="I109" i="39"/>
  <c r="H109"/>
  <c r="J109" s="1"/>
  <c r="G109"/>
  <c r="J108"/>
  <c r="J107"/>
  <c r="I104"/>
  <c r="H104"/>
  <c r="G104"/>
  <c r="J104" s="1"/>
  <c r="H103"/>
  <c r="G103"/>
  <c r="J103" s="1"/>
  <c r="J102"/>
  <c r="I102"/>
  <c r="G102"/>
  <c r="F99"/>
  <c r="F96"/>
  <c r="F95"/>
  <c r="F100" s="1"/>
  <c r="H93"/>
  <c r="G93"/>
  <c r="J83"/>
  <c r="K82"/>
  <c r="K77"/>
  <c r="K76"/>
  <c r="K75"/>
  <c r="K72"/>
  <c r="K71"/>
  <c r="F32" s="1"/>
  <c r="K69"/>
  <c r="R69"/>
  <c r="R68"/>
  <c r="K68"/>
  <c r="H68"/>
  <c r="W72"/>
  <c r="Q67"/>
  <c r="J65"/>
  <c r="T70" s="1"/>
  <c r="G65"/>
  <c r="K65" s="1"/>
  <c r="K64"/>
  <c r="K63"/>
  <c r="J61"/>
  <c r="X72" s="1"/>
  <c r="K60"/>
  <c r="K59"/>
  <c r="K58"/>
  <c r="K56"/>
  <c r="K55"/>
  <c r="K54"/>
  <c r="K53"/>
  <c r="K57" s="1"/>
  <c r="F36" s="1"/>
  <c r="R52"/>
  <c r="K51"/>
  <c r="K50"/>
  <c r="K49"/>
  <c r="K48"/>
  <c r="M52" s="1"/>
  <c r="J48"/>
  <c r="I48"/>
  <c r="G48"/>
  <c r="K46"/>
  <c r="K45"/>
  <c r="K44"/>
  <c r="K43"/>
  <c r="K47" s="1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K9" s="1"/>
  <c r="J15"/>
  <c r="H15"/>
  <c r="F15"/>
  <c r="D15"/>
  <c r="O14"/>
  <c r="K14"/>
  <c r="H14"/>
  <c r="D14"/>
  <c r="O13"/>
  <c r="K13"/>
  <c r="H13"/>
  <c r="D13"/>
  <c r="O12"/>
  <c r="K12"/>
  <c r="H12"/>
  <c r="D12"/>
  <c r="O11"/>
  <c r="D10" s="1"/>
  <c r="K11"/>
  <c r="H11"/>
  <c r="D11"/>
  <c r="K10"/>
  <c r="H10"/>
  <c r="C10"/>
  <c r="B10"/>
  <c r="B22" s="1"/>
  <c r="M9"/>
  <c r="J9"/>
  <c r="I9"/>
  <c r="H9"/>
  <c r="G9"/>
  <c r="F9"/>
  <c r="D9"/>
  <c r="C9"/>
  <c r="K8"/>
  <c r="K81" s="1"/>
  <c r="H8"/>
  <c r="K7"/>
  <c r="H7"/>
  <c r="D7"/>
  <c r="M6"/>
  <c r="J6"/>
  <c r="J4" s="1"/>
  <c r="J19" s="1"/>
  <c r="F6"/>
  <c r="H6" s="1"/>
  <c r="D6"/>
  <c r="K5"/>
  <c r="K79" s="1"/>
  <c r="H5"/>
  <c r="H4" s="1"/>
  <c r="D5"/>
  <c r="I4"/>
  <c r="I19" s="1"/>
  <c r="G4"/>
  <c r="D4"/>
  <c r="I69" i="38"/>
  <c r="I68"/>
  <c r="I67"/>
  <c r="H71"/>
  <c r="H69"/>
  <c r="H68"/>
  <c r="H67"/>
  <c r="J15" i="37"/>
  <c r="G39"/>
  <c r="G29"/>
  <c r="G35"/>
  <c r="G40"/>
  <c r="G38"/>
  <c r="G37"/>
  <c r="H29"/>
  <c r="G27"/>
  <c r="J15" i="38"/>
  <c r="J6"/>
  <c r="J5"/>
  <c r="I109"/>
  <c r="H109"/>
  <c r="J109" s="1"/>
  <c r="G109"/>
  <c r="J108"/>
  <c r="J107"/>
  <c r="I104"/>
  <c r="H104"/>
  <c r="G104"/>
  <c r="J104" s="1"/>
  <c r="H103"/>
  <c r="G103"/>
  <c r="J103" s="1"/>
  <c r="J102"/>
  <c r="I102"/>
  <c r="G102"/>
  <c r="F99"/>
  <c r="F100" s="1"/>
  <c r="F96"/>
  <c r="F95"/>
  <c r="H93"/>
  <c r="G93"/>
  <c r="J83"/>
  <c r="K77"/>
  <c r="K76"/>
  <c r="K75"/>
  <c r="K72"/>
  <c r="I71"/>
  <c r="K71"/>
  <c r="F32" s="1"/>
  <c r="R69"/>
  <c r="K69"/>
  <c r="J69"/>
  <c r="R68"/>
  <c r="K68"/>
  <c r="J67"/>
  <c r="W72"/>
  <c r="Q67"/>
  <c r="J65"/>
  <c r="T70" s="1"/>
  <c r="G65"/>
  <c r="K64"/>
  <c r="K63"/>
  <c r="J61"/>
  <c r="X72" s="1"/>
  <c r="K60"/>
  <c r="K59"/>
  <c r="K58"/>
  <c r="K56"/>
  <c r="K55"/>
  <c r="K54"/>
  <c r="K53"/>
  <c r="K57" s="1"/>
  <c r="F36" s="1"/>
  <c r="R52"/>
  <c r="K51"/>
  <c r="K50"/>
  <c r="K49"/>
  <c r="K48"/>
  <c r="M52" s="1"/>
  <c r="J48"/>
  <c r="I48"/>
  <c r="G48"/>
  <c r="K46"/>
  <c r="K45"/>
  <c r="K44"/>
  <c r="K43"/>
  <c r="K47" s="1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H15"/>
  <c r="H9" s="1"/>
  <c r="F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C10"/>
  <c r="B10"/>
  <c r="B22" s="1"/>
  <c r="M9"/>
  <c r="I9"/>
  <c r="I19" s="1"/>
  <c r="G9"/>
  <c r="F9"/>
  <c r="D9"/>
  <c r="C9"/>
  <c r="C22" s="1"/>
  <c r="K8"/>
  <c r="K81" s="1"/>
  <c r="H8"/>
  <c r="K7"/>
  <c r="H7"/>
  <c r="D7"/>
  <c r="M6"/>
  <c r="J4"/>
  <c r="F6"/>
  <c r="H6" s="1"/>
  <c r="D6"/>
  <c r="K5"/>
  <c r="K79" s="1"/>
  <c r="H5"/>
  <c r="D5"/>
  <c r="I4"/>
  <c r="G4"/>
  <c r="G19" s="1"/>
  <c r="D4"/>
  <c r="N35" i="37"/>
  <c r="G34"/>
  <c r="G33"/>
  <c r="G32"/>
  <c r="H26"/>
  <c r="T12"/>
  <c r="N12"/>
  <c r="S7"/>
  <c r="P7"/>
  <c r="N6"/>
  <c r="T5"/>
  <c r="N5"/>
  <c r="N4"/>
  <c r="J3"/>
  <c r="J18" s="1"/>
  <c r="V72" i="35"/>
  <c r="X72"/>
  <c r="W72"/>
  <c r="G65"/>
  <c r="K65"/>
  <c r="Q67"/>
  <c r="T70"/>
  <c r="R70"/>
  <c r="R69"/>
  <c r="R68"/>
  <c r="I67"/>
  <c r="R67"/>
  <c r="H69"/>
  <c r="K69" s="1"/>
  <c r="J15"/>
  <c r="J9" s="1"/>
  <c r="J5"/>
  <c r="K5" s="1"/>
  <c r="K79" s="1"/>
  <c r="H71"/>
  <c r="I69"/>
  <c r="J67"/>
  <c r="H67"/>
  <c r="G27" i="36"/>
  <c r="G29"/>
  <c r="U29" s="1"/>
  <c r="G29" i="34"/>
  <c r="G27"/>
  <c r="J15" i="36"/>
  <c r="G39"/>
  <c r="G40"/>
  <c r="G45" s="1"/>
  <c r="G46" s="1"/>
  <c r="G38"/>
  <c r="G37"/>
  <c r="N35"/>
  <c r="G35"/>
  <c r="G34"/>
  <c r="G33"/>
  <c r="G32"/>
  <c r="H35" s="1"/>
  <c r="H26"/>
  <c r="T12"/>
  <c r="N12"/>
  <c r="S7"/>
  <c r="P7"/>
  <c r="N6"/>
  <c r="T5"/>
  <c r="N5"/>
  <c r="N4"/>
  <c r="J3"/>
  <c r="J18" s="1"/>
  <c r="I109" i="35"/>
  <c r="H109"/>
  <c r="G109"/>
  <c r="J109" s="1"/>
  <c r="J110" s="1"/>
  <c r="J108"/>
  <c r="J107"/>
  <c r="I104"/>
  <c r="H104"/>
  <c r="G104"/>
  <c r="J104" s="1"/>
  <c r="J103"/>
  <c r="H103"/>
  <c r="G103"/>
  <c r="J102"/>
  <c r="J106" s="1"/>
  <c r="I102"/>
  <c r="G102"/>
  <c r="F99"/>
  <c r="F96"/>
  <c r="F100" s="1"/>
  <c r="F95"/>
  <c r="H93"/>
  <c r="G93"/>
  <c r="J83"/>
  <c r="K76"/>
  <c r="K75"/>
  <c r="K77" s="1"/>
  <c r="K72"/>
  <c r="K71"/>
  <c r="F32" s="1"/>
  <c r="I71"/>
  <c r="J69"/>
  <c r="I68"/>
  <c r="H68"/>
  <c r="K68" s="1"/>
  <c r="J65"/>
  <c r="K64"/>
  <c r="K63"/>
  <c r="K61"/>
  <c r="J61"/>
  <c r="K60"/>
  <c r="K59"/>
  <c r="K58"/>
  <c r="K62" s="1"/>
  <c r="F37" s="1"/>
  <c r="K56"/>
  <c r="K55"/>
  <c r="K54"/>
  <c r="K53"/>
  <c r="K57" s="1"/>
  <c r="F36" s="1"/>
  <c r="R52"/>
  <c r="K51"/>
  <c r="K50"/>
  <c r="K49"/>
  <c r="K48"/>
  <c r="M52" s="1"/>
  <c r="J48"/>
  <c r="I48"/>
  <c r="G48"/>
  <c r="K46"/>
  <c r="K45"/>
  <c r="K44"/>
  <c r="K43"/>
  <c r="K47" s="1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H15"/>
  <c r="F15"/>
  <c r="F9" s="1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C10"/>
  <c r="B10"/>
  <c r="B22" s="1"/>
  <c r="M9"/>
  <c r="I9"/>
  <c r="G9"/>
  <c r="D9"/>
  <c r="C9"/>
  <c r="C22" s="1"/>
  <c r="K8"/>
  <c r="K81" s="1"/>
  <c r="H8"/>
  <c r="K7"/>
  <c r="H7"/>
  <c r="D7"/>
  <c r="M6"/>
  <c r="J6"/>
  <c r="H6"/>
  <c r="H4" s="1"/>
  <c r="F6"/>
  <c r="D6"/>
  <c r="H5"/>
  <c r="D5"/>
  <c r="I4"/>
  <c r="I19" s="1"/>
  <c r="G4"/>
  <c r="F4"/>
  <c r="F19" s="1"/>
  <c r="D4"/>
  <c r="G39" i="34"/>
  <c r="G38"/>
  <c r="H69" i="33"/>
  <c r="H67"/>
  <c r="J15"/>
  <c r="K15" s="1"/>
  <c r="J5"/>
  <c r="G40" i="34"/>
  <c r="G45" s="1"/>
  <c r="G46" s="1"/>
  <c r="G37"/>
  <c r="J69" i="33"/>
  <c r="I69"/>
  <c r="I68"/>
  <c r="R74" s="1"/>
  <c r="H68"/>
  <c r="J6"/>
  <c r="N35" i="34"/>
  <c r="G35"/>
  <c r="G34"/>
  <c r="G33"/>
  <c r="G32"/>
  <c r="H35" s="1"/>
  <c r="H26"/>
  <c r="T12"/>
  <c r="N12"/>
  <c r="S7"/>
  <c r="P7"/>
  <c r="N6"/>
  <c r="T5"/>
  <c r="N5"/>
  <c r="N4"/>
  <c r="J3"/>
  <c r="J18" s="1"/>
  <c r="I109" i="33"/>
  <c r="H109"/>
  <c r="G109"/>
  <c r="J109" s="1"/>
  <c r="J108"/>
  <c r="J107"/>
  <c r="J110" s="1"/>
  <c r="I104"/>
  <c r="H104"/>
  <c r="G104"/>
  <c r="J104" s="1"/>
  <c r="H103"/>
  <c r="G103"/>
  <c r="J103" s="1"/>
  <c r="J106" s="1"/>
  <c r="J102"/>
  <c r="I102"/>
  <c r="G102"/>
  <c r="F99"/>
  <c r="F100" s="1"/>
  <c r="F96"/>
  <c r="F95"/>
  <c r="H93"/>
  <c r="G93"/>
  <c r="J83"/>
  <c r="R78"/>
  <c r="K76"/>
  <c r="K75"/>
  <c r="K77" s="1"/>
  <c r="R73"/>
  <c r="K72"/>
  <c r="I71"/>
  <c r="K71"/>
  <c r="F32" s="1"/>
  <c r="S69"/>
  <c r="R68"/>
  <c r="R69" s="1"/>
  <c r="K67"/>
  <c r="J67"/>
  <c r="R72"/>
  <c r="S65"/>
  <c r="J65"/>
  <c r="K65" s="1"/>
  <c r="R64"/>
  <c r="R65" s="1"/>
  <c r="K64"/>
  <c r="K63"/>
  <c r="K66" s="1"/>
  <c r="F38" s="1"/>
  <c r="J61"/>
  <c r="K61" s="1"/>
  <c r="K60"/>
  <c r="K59"/>
  <c r="K58"/>
  <c r="K56"/>
  <c r="K55"/>
  <c r="K54"/>
  <c r="K57" s="1"/>
  <c r="F36" s="1"/>
  <c r="K53"/>
  <c r="L56" s="1"/>
  <c r="R52"/>
  <c r="K51"/>
  <c r="K50"/>
  <c r="K49"/>
  <c r="J48"/>
  <c r="I48"/>
  <c r="G48"/>
  <c r="K48" s="1"/>
  <c r="K46"/>
  <c r="K45"/>
  <c r="K44"/>
  <c r="J43"/>
  <c r="G43"/>
  <c r="K43" s="1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H15"/>
  <c r="F15"/>
  <c r="D15"/>
  <c r="O14"/>
  <c r="K14"/>
  <c r="H14"/>
  <c r="D14"/>
  <c r="O13"/>
  <c r="K13"/>
  <c r="H13"/>
  <c r="D13"/>
  <c r="O12"/>
  <c r="K12"/>
  <c r="H12"/>
  <c r="D12"/>
  <c r="O11"/>
  <c r="D10" s="1"/>
  <c r="K11"/>
  <c r="H11"/>
  <c r="D11"/>
  <c r="K10"/>
  <c r="H10"/>
  <c r="C10"/>
  <c r="B10"/>
  <c r="B22" s="1"/>
  <c r="M9"/>
  <c r="I9"/>
  <c r="I19" s="1"/>
  <c r="H9"/>
  <c r="G9"/>
  <c r="F9"/>
  <c r="D9"/>
  <c r="C9" s="1"/>
  <c r="K8"/>
  <c r="K81" s="1"/>
  <c r="H8"/>
  <c r="K7"/>
  <c r="H7"/>
  <c r="D7"/>
  <c r="M6"/>
  <c r="K6"/>
  <c r="K80" s="1"/>
  <c r="J4"/>
  <c r="F6"/>
  <c r="H6" s="1"/>
  <c r="D6"/>
  <c r="K5"/>
  <c r="K79" s="1"/>
  <c r="H5"/>
  <c r="D5"/>
  <c r="I4"/>
  <c r="D4"/>
  <c r="D22" s="1"/>
  <c r="I69" i="31"/>
  <c r="G39" i="32"/>
  <c r="G29"/>
  <c r="G27"/>
  <c r="G40"/>
  <c r="H71" i="31"/>
  <c r="J69"/>
  <c r="H69"/>
  <c r="J15"/>
  <c r="G38" i="32"/>
  <c r="G37"/>
  <c r="N35"/>
  <c r="G35"/>
  <c r="G45" s="1"/>
  <c r="G46" s="1"/>
  <c r="G34"/>
  <c r="G33"/>
  <c r="G32"/>
  <c r="H35" s="1"/>
  <c r="H29"/>
  <c r="H26"/>
  <c r="T12"/>
  <c r="N12"/>
  <c r="S7"/>
  <c r="P7"/>
  <c r="N6"/>
  <c r="T5"/>
  <c r="N5"/>
  <c r="N4"/>
  <c r="J3"/>
  <c r="J18" s="1"/>
  <c r="I109" i="31"/>
  <c r="H109"/>
  <c r="G109"/>
  <c r="J109" s="1"/>
  <c r="J110" s="1"/>
  <c r="J108"/>
  <c r="J107"/>
  <c r="I104"/>
  <c r="H104"/>
  <c r="G104"/>
  <c r="J104" s="1"/>
  <c r="J103"/>
  <c r="H103"/>
  <c r="G103"/>
  <c r="I102"/>
  <c r="J102" s="1"/>
  <c r="J106" s="1"/>
  <c r="J113" s="1"/>
  <c r="G102"/>
  <c r="F99"/>
  <c r="F96"/>
  <c r="F100" s="1"/>
  <c r="F95"/>
  <c r="H93"/>
  <c r="G93"/>
  <c r="J83"/>
  <c r="K76"/>
  <c r="K75"/>
  <c r="K77" s="1"/>
  <c r="K72"/>
  <c r="K71"/>
  <c r="I71"/>
  <c r="R68"/>
  <c r="R69" s="1"/>
  <c r="K69"/>
  <c r="I68"/>
  <c r="R74" s="1"/>
  <c r="H68"/>
  <c r="R71" s="1"/>
  <c r="J67"/>
  <c r="I67"/>
  <c r="R72" s="1"/>
  <c r="R65"/>
  <c r="K65"/>
  <c r="J65"/>
  <c r="R64"/>
  <c r="K64"/>
  <c r="R63"/>
  <c r="K63"/>
  <c r="K66" s="1"/>
  <c r="F38" s="1"/>
  <c r="K61"/>
  <c r="R61" s="1"/>
  <c r="J61"/>
  <c r="R67" s="1"/>
  <c r="K60"/>
  <c r="K59"/>
  <c r="K58"/>
  <c r="K62" s="1"/>
  <c r="F37" s="1"/>
  <c r="K56"/>
  <c r="K55"/>
  <c r="K54"/>
  <c r="K53"/>
  <c r="K57" s="1"/>
  <c r="F36" s="1"/>
  <c r="R52"/>
  <c r="K51"/>
  <c r="K50"/>
  <c r="K49"/>
  <c r="J48"/>
  <c r="K48" s="1"/>
  <c r="I48"/>
  <c r="G48"/>
  <c r="K46"/>
  <c r="K45"/>
  <c r="K44"/>
  <c r="J43"/>
  <c r="K43" s="1"/>
  <c r="K47" s="1"/>
  <c r="G43"/>
  <c r="K42"/>
  <c r="L33"/>
  <c r="F32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G9"/>
  <c r="F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C10"/>
  <c r="B10"/>
  <c r="B22" s="1"/>
  <c r="M9"/>
  <c r="J9"/>
  <c r="I9"/>
  <c r="F9"/>
  <c r="D9"/>
  <c r="C9" s="1"/>
  <c r="K8"/>
  <c r="K81" s="1"/>
  <c r="H8"/>
  <c r="K7"/>
  <c r="H7"/>
  <c r="D7"/>
  <c r="M6"/>
  <c r="K6"/>
  <c r="K80" s="1"/>
  <c r="J6"/>
  <c r="J4" s="1"/>
  <c r="J19" s="1"/>
  <c r="F6"/>
  <c r="H6" s="1"/>
  <c r="D6"/>
  <c r="K5"/>
  <c r="K79" s="1"/>
  <c r="G5"/>
  <c r="H5" s="1"/>
  <c r="H4" s="1"/>
  <c r="D5"/>
  <c r="K4"/>
  <c r="I4"/>
  <c r="I19" s="1"/>
  <c r="G4"/>
  <c r="F4"/>
  <c r="F19" s="1"/>
  <c r="D4"/>
  <c r="G40" i="30"/>
  <c r="G39"/>
  <c r="G38"/>
  <c r="G34"/>
  <c r="J14"/>
  <c r="G29"/>
  <c r="G27"/>
  <c r="H71" i="29"/>
  <c r="I69"/>
  <c r="H69"/>
  <c r="I68"/>
  <c r="R73" s="1"/>
  <c r="H68"/>
  <c r="J67"/>
  <c r="J65"/>
  <c r="J15"/>
  <c r="J6"/>
  <c r="J4" s="1"/>
  <c r="G15"/>
  <c r="G9" s="1"/>
  <c r="G37" i="30"/>
  <c r="N35"/>
  <c r="G35"/>
  <c r="G33"/>
  <c r="G32"/>
  <c r="H35" s="1"/>
  <c r="H29"/>
  <c r="H26"/>
  <c r="T12"/>
  <c r="N12"/>
  <c r="S7"/>
  <c r="P7"/>
  <c r="N6"/>
  <c r="T5"/>
  <c r="N5"/>
  <c r="N4"/>
  <c r="J3"/>
  <c r="J18" s="1"/>
  <c r="I109" i="29"/>
  <c r="H109"/>
  <c r="G109"/>
  <c r="J109" s="1"/>
  <c r="J108"/>
  <c r="J107"/>
  <c r="J110" s="1"/>
  <c r="I104"/>
  <c r="H104"/>
  <c r="J104" s="1"/>
  <c r="G104"/>
  <c r="H103"/>
  <c r="G103"/>
  <c r="J103" s="1"/>
  <c r="I102"/>
  <c r="G102"/>
  <c r="J102" s="1"/>
  <c r="F100"/>
  <c r="F99"/>
  <c r="F96"/>
  <c r="F95"/>
  <c r="H93"/>
  <c r="G93"/>
  <c r="J83"/>
  <c r="K79"/>
  <c r="K76"/>
  <c r="K75"/>
  <c r="K77" s="1"/>
  <c r="R72"/>
  <c r="K72"/>
  <c r="I71"/>
  <c r="K71"/>
  <c r="F32" s="1"/>
  <c r="R68"/>
  <c r="R69" s="1"/>
  <c r="R67"/>
  <c r="K67"/>
  <c r="I67"/>
  <c r="S65"/>
  <c r="R65"/>
  <c r="K65"/>
  <c r="R64"/>
  <c r="K64"/>
  <c r="K63"/>
  <c r="J61"/>
  <c r="K61" s="1"/>
  <c r="R61" s="1"/>
  <c r="K60"/>
  <c r="K59"/>
  <c r="K58"/>
  <c r="K56"/>
  <c r="K55"/>
  <c r="K54"/>
  <c r="K53"/>
  <c r="M56" s="1"/>
  <c r="R52"/>
  <c r="K51"/>
  <c r="K50"/>
  <c r="K49"/>
  <c r="K48"/>
  <c r="K52" s="1"/>
  <c r="J48"/>
  <c r="I48"/>
  <c r="G48"/>
  <c r="K46"/>
  <c r="K45"/>
  <c r="K44"/>
  <c r="K43"/>
  <c r="K47" s="1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H15"/>
  <c r="F15"/>
  <c r="D15"/>
  <c r="O14"/>
  <c r="K14"/>
  <c r="H14"/>
  <c r="D14"/>
  <c r="O13"/>
  <c r="K13"/>
  <c r="H13"/>
  <c r="D13"/>
  <c r="O12"/>
  <c r="K12"/>
  <c r="H12"/>
  <c r="D12"/>
  <c r="O11"/>
  <c r="D10" s="1"/>
  <c r="K11"/>
  <c r="H11"/>
  <c r="D11"/>
  <c r="K10"/>
  <c r="H10"/>
  <c r="C10"/>
  <c r="B10"/>
  <c r="B22" s="1"/>
  <c r="M9"/>
  <c r="J9"/>
  <c r="I9"/>
  <c r="F9"/>
  <c r="D9"/>
  <c r="C9" s="1"/>
  <c r="K8"/>
  <c r="K81" s="1"/>
  <c r="H8"/>
  <c r="K7"/>
  <c r="H7"/>
  <c r="D7"/>
  <c r="M6"/>
  <c r="K6"/>
  <c r="K80" s="1"/>
  <c r="F6"/>
  <c r="F4" s="1"/>
  <c r="F19" s="1"/>
  <c r="D6"/>
  <c r="K5"/>
  <c r="G5"/>
  <c r="H5" s="1"/>
  <c r="D5"/>
  <c r="I4"/>
  <c r="I19" s="1"/>
  <c r="D4"/>
  <c r="I71" i="27"/>
  <c r="H71"/>
  <c r="I69"/>
  <c r="H69"/>
  <c r="I67"/>
  <c r="J65"/>
  <c r="K65" s="1"/>
  <c r="J61"/>
  <c r="K61" s="1"/>
  <c r="J15"/>
  <c r="G15"/>
  <c r="G9" s="1"/>
  <c r="G5"/>
  <c r="G40" i="28"/>
  <c r="G39"/>
  <c r="G38"/>
  <c r="G35"/>
  <c r="G34"/>
  <c r="G29"/>
  <c r="H29" s="1"/>
  <c r="G27"/>
  <c r="J61" i="25"/>
  <c r="R67" s="1"/>
  <c r="G15"/>
  <c r="D17" i="27"/>
  <c r="G37" i="28"/>
  <c r="N35"/>
  <c r="G33"/>
  <c r="G32"/>
  <c r="H26"/>
  <c r="T12"/>
  <c r="N12"/>
  <c r="S7"/>
  <c r="P7"/>
  <c r="N6"/>
  <c r="T5"/>
  <c r="N5"/>
  <c r="N4"/>
  <c r="J3"/>
  <c r="J18" s="1"/>
  <c r="I109" i="27"/>
  <c r="H109"/>
  <c r="G109"/>
  <c r="J109" s="1"/>
  <c r="J108"/>
  <c r="J107"/>
  <c r="J110" s="1"/>
  <c r="I104"/>
  <c r="H104"/>
  <c r="G104"/>
  <c r="J104" s="1"/>
  <c r="H103"/>
  <c r="G103"/>
  <c r="J103" s="1"/>
  <c r="J102"/>
  <c r="I102"/>
  <c r="G102"/>
  <c r="F99"/>
  <c r="F100" s="1"/>
  <c r="F96"/>
  <c r="F95"/>
  <c r="H93"/>
  <c r="G93"/>
  <c r="J83"/>
  <c r="K76"/>
  <c r="K75"/>
  <c r="K77" s="1"/>
  <c r="K72"/>
  <c r="R71"/>
  <c r="K71"/>
  <c r="F32" s="1"/>
  <c r="R68"/>
  <c r="I68"/>
  <c r="R74" s="1"/>
  <c r="H68"/>
  <c r="R72"/>
  <c r="R64"/>
  <c r="K64"/>
  <c r="K63"/>
  <c r="R67"/>
  <c r="K60"/>
  <c r="K59"/>
  <c r="K58"/>
  <c r="K56"/>
  <c r="K55"/>
  <c r="K54"/>
  <c r="K53"/>
  <c r="M56" s="1"/>
  <c r="R52"/>
  <c r="K51"/>
  <c r="K50"/>
  <c r="K49"/>
  <c r="J48"/>
  <c r="K48" s="1"/>
  <c r="I48"/>
  <c r="G48"/>
  <c r="K46"/>
  <c r="K45"/>
  <c r="K44"/>
  <c r="J43"/>
  <c r="K43" s="1"/>
  <c r="K47" s="1"/>
  <c r="G43"/>
  <c r="K42"/>
  <c r="L33"/>
  <c r="N30"/>
  <c r="L30"/>
  <c r="M26"/>
  <c r="H26"/>
  <c r="G26"/>
  <c r="M22"/>
  <c r="M21"/>
  <c r="L21"/>
  <c r="N20"/>
  <c r="M20"/>
  <c r="O17"/>
  <c r="K17"/>
  <c r="H17"/>
  <c r="O16"/>
  <c r="D16"/>
  <c r="O15"/>
  <c r="K15"/>
  <c r="F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B10"/>
  <c r="B22" s="1"/>
  <c r="F20" s="1"/>
  <c r="M9"/>
  <c r="J9"/>
  <c r="I9"/>
  <c r="F9"/>
  <c r="D9"/>
  <c r="C9"/>
  <c r="K8"/>
  <c r="K81" s="1"/>
  <c r="H8"/>
  <c r="K7"/>
  <c r="H7"/>
  <c r="D7"/>
  <c r="M6"/>
  <c r="J6"/>
  <c r="J4" s="1"/>
  <c r="G6"/>
  <c r="F6"/>
  <c r="F4" s="1"/>
  <c r="F19" s="1"/>
  <c r="D6"/>
  <c r="K5"/>
  <c r="K79" s="1"/>
  <c r="H5"/>
  <c r="D5"/>
  <c r="I4"/>
  <c r="I19" s="1"/>
  <c r="D4"/>
  <c r="T5" i="26"/>
  <c r="T12"/>
  <c r="R71" i="25"/>
  <c r="H29" i="26"/>
  <c r="G38"/>
  <c r="G37"/>
  <c r="I68" i="25"/>
  <c r="I67"/>
  <c r="G6"/>
  <c r="G5"/>
  <c r="G45" i="26"/>
  <c r="G46" s="1"/>
  <c r="G40"/>
  <c r="N35"/>
  <c r="G35"/>
  <c r="G33"/>
  <c r="G32"/>
  <c r="H35" s="1"/>
  <c r="H26"/>
  <c r="N12"/>
  <c r="S7"/>
  <c r="P7"/>
  <c r="N6"/>
  <c r="N5"/>
  <c r="N4"/>
  <c r="J3"/>
  <c r="J18" s="1"/>
  <c r="I109" i="25"/>
  <c r="H109"/>
  <c r="J109" s="1"/>
  <c r="G109"/>
  <c r="J108"/>
  <c r="J107"/>
  <c r="I104"/>
  <c r="H104"/>
  <c r="G104"/>
  <c r="J104" s="1"/>
  <c r="H103"/>
  <c r="G103"/>
  <c r="J103" s="1"/>
  <c r="J102"/>
  <c r="I102"/>
  <c r="G102"/>
  <c r="F99"/>
  <c r="F100" s="1"/>
  <c r="F96"/>
  <c r="F95"/>
  <c r="H93"/>
  <c r="G93"/>
  <c r="J83"/>
  <c r="K76"/>
  <c r="K75"/>
  <c r="K77" s="1"/>
  <c r="K72"/>
  <c r="I71"/>
  <c r="H71"/>
  <c r="K71" s="1"/>
  <c r="F32" s="1"/>
  <c r="R68"/>
  <c r="R69" s="1"/>
  <c r="R74"/>
  <c r="H68"/>
  <c r="R72"/>
  <c r="K65"/>
  <c r="J65"/>
  <c r="R64"/>
  <c r="K64"/>
  <c r="R63"/>
  <c r="K63"/>
  <c r="K60"/>
  <c r="K59"/>
  <c r="K58"/>
  <c r="K56"/>
  <c r="K55"/>
  <c r="K54"/>
  <c r="K53"/>
  <c r="M56" s="1"/>
  <c r="R52"/>
  <c r="K51"/>
  <c r="K50"/>
  <c r="K49"/>
  <c r="J48"/>
  <c r="I48"/>
  <c r="G48"/>
  <c r="K48" s="1"/>
  <c r="K46"/>
  <c r="K45"/>
  <c r="K44"/>
  <c r="J43"/>
  <c r="K43" s="1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G9"/>
  <c r="F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C10"/>
  <c r="B10"/>
  <c r="B22" s="1"/>
  <c r="F20" s="1"/>
  <c r="M9"/>
  <c r="J9"/>
  <c r="I9"/>
  <c r="F9"/>
  <c r="D9"/>
  <c r="C9"/>
  <c r="K8"/>
  <c r="K81" s="1"/>
  <c r="H8"/>
  <c r="K7"/>
  <c r="H7"/>
  <c r="D7"/>
  <c r="M6"/>
  <c r="J6"/>
  <c r="J4" s="1"/>
  <c r="F6"/>
  <c r="D6"/>
  <c r="K5"/>
  <c r="K79" s="1"/>
  <c r="H5"/>
  <c r="G4"/>
  <c r="D5"/>
  <c r="I4"/>
  <c r="I19" s="1"/>
  <c r="F4"/>
  <c r="F19" s="1"/>
  <c r="D4"/>
  <c r="J14" i="24"/>
  <c r="J15"/>
  <c r="G40"/>
  <c r="G39"/>
  <c r="G38"/>
  <c r="G37"/>
  <c r="G35"/>
  <c r="G34"/>
  <c r="G33"/>
  <c r="G29"/>
  <c r="H29" s="1"/>
  <c r="G27"/>
  <c r="I71" i="23"/>
  <c r="H71"/>
  <c r="I69"/>
  <c r="H69"/>
  <c r="I68"/>
  <c r="H68"/>
  <c r="I67"/>
  <c r="S65" s="1"/>
  <c r="J65"/>
  <c r="R63" s="1"/>
  <c r="J61"/>
  <c r="G15"/>
  <c r="J15"/>
  <c r="J9" s="1"/>
  <c r="J6"/>
  <c r="G6"/>
  <c r="G5"/>
  <c r="N35" i="24"/>
  <c r="G45"/>
  <c r="G46" s="1"/>
  <c r="G32"/>
  <c r="H26"/>
  <c r="N12"/>
  <c r="S7"/>
  <c r="P7"/>
  <c r="N6"/>
  <c r="N5"/>
  <c r="N4"/>
  <c r="J3"/>
  <c r="J18" s="1"/>
  <c r="I109" i="23"/>
  <c r="H109"/>
  <c r="G109"/>
  <c r="J109" s="1"/>
  <c r="J108"/>
  <c r="J107"/>
  <c r="J110" s="1"/>
  <c r="I104"/>
  <c r="H104"/>
  <c r="G104"/>
  <c r="J104" s="1"/>
  <c r="H103"/>
  <c r="G103"/>
  <c r="J103" s="1"/>
  <c r="I102"/>
  <c r="G102"/>
  <c r="J102" s="1"/>
  <c r="J106" s="1"/>
  <c r="J113" s="1"/>
  <c r="F99"/>
  <c r="F96"/>
  <c r="F95"/>
  <c r="F100" s="1"/>
  <c r="H93"/>
  <c r="G93"/>
  <c r="J83"/>
  <c r="K76"/>
  <c r="K75"/>
  <c r="K77" s="1"/>
  <c r="R74"/>
  <c r="R73"/>
  <c r="R72"/>
  <c r="K72"/>
  <c r="K71"/>
  <c r="F32" s="1"/>
  <c r="R78"/>
  <c r="R68"/>
  <c r="R69" s="1"/>
  <c r="K68"/>
  <c r="R67"/>
  <c r="K67"/>
  <c r="K65"/>
  <c r="R64"/>
  <c r="R65" s="1"/>
  <c r="K64"/>
  <c r="K63"/>
  <c r="K61"/>
  <c r="K60"/>
  <c r="K59"/>
  <c r="K58"/>
  <c r="K62" s="1"/>
  <c r="F37" s="1"/>
  <c r="K56"/>
  <c r="K55"/>
  <c r="K54"/>
  <c r="K53"/>
  <c r="K57" s="1"/>
  <c r="F36" s="1"/>
  <c r="R52"/>
  <c r="K51"/>
  <c r="K50"/>
  <c r="K49"/>
  <c r="J48"/>
  <c r="I48"/>
  <c r="G48"/>
  <c r="K48" s="1"/>
  <c r="K46"/>
  <c r="K45"/>
  <c r="K44"/>
  <c r="J43"/>
  <c r="G43"/>
  <c r="K43" s="1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F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C10"/>
  <c r="B10"/>
  <c r="B22" s="1"/>
  <c r="M9"/>
  <c r="I9"/>
  <c r="G9"/>
  <c r="F9"/>
  <c r="D9"/>
  <c r="C9" s="1"/>
  <c r="K8"/>
  <c r="K81" s="1"/>
  <c r="H8"/>
  <c r="K7"/>
  <c r="H7"/>
  <c r="D7"/>
  <c r="M6"/>
  <c r="K6"/>
  <c r="K80" s="1"/>
  <c r="F6"/>
  <c r="H6" s="1"/>
  <c r="D6"/>
  <c r="K5"/>
  <c r="K79" s="1"/>
  <c r="H5"/>
  <c r="D5"/>
  <c r="K4"/>
  <c r="J4"/>
  <c r="I4"/>
  <c r="I19" s="1"/>
  <c r="G4"/>
  <c r="F4"/>
  <c r="F19" s="1"/>
  <c r="D4"/>
  <c r="J14" i="22"/>
  <c r="J15"/>
  <c r="G29"/>
  <c r="G39"/>
  <c r="J65" i="21"/>
  <c r="H69"/>
  <c r="K81"/>
  <c r="F39" i="45" l="1"/>
  <c r="K78"/>
  <c r="K89" s="1"/>
  <c r="J11" i="46"/>
  <c r="T10" s="1"/>
  <c r="J14"/>
  <c r="N14"/>
  <c r="S12" i="44"/>
  <c r="J43" i="46"/>
  <c r="J44" s="1"/>
  <c r="K19" i="45"/>
  <c r="F41"/>
  <c r="J26" s="1"/>
  <c r="J10" i="46"/>
  <c r="F20" i="45"/>
  <c r="M19" s="1"/>
  <c r="H20"/>
  <c r="K90" s="1"/>
  <c r="M78"/>
  <c r="F35"/>
  <c r="H22" i="43"/>
  <c r="I26" s="1"/>
  <c r="M19"/>
  <c r="N13" i="44"/>
  <c r="J13"/>
  <c r="J10"/>
  <c r="T10"/>
  <c r="K73" i="43"/>
  <c r="K84" s="1"/>
  <c r="K86" s="1"/>
  <c r="F34"/>
  <c r="F40" s="1"/>
  <c r="J26" s="1"/>
  <c r="F35"/>
  <c r="M73"/>
  <c r="F22"/>
  <c r="K73" i="41"/>
  <c r="K84" s="1"/>
  <c r="K86" s="1"/>
  <c r="K19"/>
  <c r="J40" i="42"/>
  <c r="J41" s="1"/>
  <c r="J11"/>
  <c r="J10" s="1"/>
  <c r="N14"/>
  <c r="M19" i="41"/>
  <c r="H22"/>
  <c r="M73"/>
  <c r="F35"/>
  <c r="F40" s="1"/>
  <c r="J26" s="1"/>
  <c r="H19" i="39"/>
  <c r="G19"/>
  <c r="D22"/>
  <c r="C22"/>
  <c r="I40" i="40"/>
  <c r="J12" s="1"/>
  <c r="J15" s="1"/>
  <c r="N14" s="1"/>
  <c r="J14"/>
  <c r="J11"/>
  <c r="J110" i="39"/>
  <c r="K62"/>
  <c r="F37" s="1"/>
  <c r="K66"/>
  <c r="F38" s="1"/>
  <c r="J106"/>
  <c r="J113" s="1"/>
  <c r="F34"/>
  <c r="J93"/>
  <c r="K93" s="1"/>
  <c r="K113"/>
  <c r="L56"/>
  <c r="K6"/>
  <c r="K52"/>
  <c r="M56"/>
  <c r="V72"/>
  <c r="L51"/>
  <c r="R67"/>
  <c r="R70" s="1"/>
  <c r="F4"/>
  <c r="F19" s="1"/>
  <c r="F20" s="1"/>
  <c r="K61"/>
  <c r="K67"/>
  <c r="K70" s="1"/>
  <c r="F39" s="1"/>
  <c r="G45" i="37"/>
  <c r="G46" s="1"/>
  <c r="H35"/>
  <c r="H40"/>
  <c r="U29"/>
  <c r="I29"/>
  <c r="J14" s="1"/>
  <c r="H4" i="38"/>
  <c r="H19" s="1"/>
  <c r="D10"/>
  <c r="D22" s="1"/>
  <c r="H20" s="1"/>
  <c r="K85" s="1"/>
  <c r="K9"/>
  <c r="K82"/>
  <c r="J93"/>
  <c r="K93" s="1"/>
  <c r="F20"/>
  <c r="J110"/>
  <c r="J106"/>
  <c r="J113" s="1"/>
  <c r="K113" s="1"/>
  <c r="F34"/>
  <c r="G20"/>
  <c r="G22" s="1"/>
  <c r="K6"/>
  <c r="K52"/>
  <c r="M56"/>
  <c r="K65"/>
  <c r="K66" s="1"/>
  <c r="F38" s="1"/>
  <c r="V72"/>
  <c r="L51"/>
  <c r="L56"/>
  <c r="R67"/>
  <c r="R70" s="1"/>
  <c r="F4"/>
  <c r="F19" s="1"/>
  <c r="K61"/>
  <c r="K62" s="1"/>
  <c r="F37" s="1"/>
  <c r="J9"/>
  <c r="J19" s="1"/>
  <c r="K67"/>
  <c r="K70" s="1"/>
  <c r="F39" s="1"/>
  <c r="K66" i="35"/>
  <c r="F38" s="1"/>
  <c r="K15"/>
  <c r="K82" s="1"/>
  <c r="J4"/>
  <c r="J19" s="1"/>
  <c r="K67"/>
  <c r="K70" s="1"/>
  <c r="F39" s="1"/>
  <c r="H9"/>
  <c r="G19"/>
  <c r="G20" s="1"/>
  <c r="G22" s="1"/>
  <c r="H19"/>
  <c r="D10"/>
  <c r="D22" s="1"/>
  <c r="H29" i="36"/>
  <c r="I29" s="1"/>
  <c r="H40"/>
  <c r="I40" s="1"/>
  <c r="J12" s="1"/>
  <c r="F20" i="35"/>
  <c r="F34"/>
  <c r="J93"/>
  <c r="K93" s="1"/>
  <c r="J113"/>
  <c r="K113" s="1"/>
  <c r="L56"/>
  <c r="K6"/>
  <c r="K52"/>
  <c r="M56"/>
  <c r="L51"/>
  <c r="H40" i="34"/>
  <c r="R71" i="33"/>
  <c r="K69"/>
  <c r="H29" i="34"/>
  <c r="I29" s="1"/>
  <c r="J14" s="1"/>
  <c r="I40"/>
  <c r="J12" s="1"/>
  <c r="J15" s="1"/>
  <c r="K68" i="33"/>
  <c r="K70"/>
  <c r="F39" s="1"/>
  <c r="H20"/>
  <c r="K85" s="1"/>
  <c r="H4"/>
  <c r="H19" s="1"/>
  <c r="C22"/>
  <c r="K9"/>
  <c r="K82"/>
  <c r="J93"/>
  <c r="K93" s="1"/>
  <c r="K83"/>
  <c r="J113"/>
  <c r="K113" s="1"/>
  <c r="K47"/>
  <c r="L51"/>
  <c r="M52"/>
  <c r="K52"/>
  <c r="R75"/>
  <c r="R76" s="1"/>
  <c r="K62"/>
  <c r="F37" s="1"/>
  <c r="M56"/>
  <c r="J9"/>
  <c r="J19" s="1"/>
  <c r="R67"/>
  <c r="G4"/>
  <c r="G19" s="1"/>
  <c r="K4"/>
  <c r="K19" s="1"/>
  <c r="R61"/>
  <c r="F4"/>
  <c r="F19" s="1"/>
  <c r="F20" s="1"/>
  <c r="R63"/>
  <c r="H40" i="32"/>
  <c r="I40" s="1"/>
  <c r="J12" s="1"/>
  <c r="R75" i="31"/>
  <c r="R76" s="1"/>
  <c r="G19"/>
  <c r="G20" s="1"/>
  <c r="G22" s="1"/>
  <c r="D10"/>
  <c r="D22"/>
  <c r="C22"/>
  <c r="I29" i="32"/>
  <c r="J14" s="1"/>
  <c r="F34" i="31"/>
  <c r="J93"/>
  <c r="K93" s="1"/>
  <c r="K113"/>
  <c r="F20"/>
  <c r="K9"/>
  <c r="K19" s="1"/>
  <c r="K82"/>
  <c r="K83" s="1"/>
  <c r="M52"/>
  <c r="L51"/>
  <c r="K52"/>
  <c r="M56"/>
  <c r="S65"/>
  <c r="K67"/>
  <c r="K68"/>
  <c r="R73"/>
  <c r="H15"/>
  <c r="H9" s="1"/>
  <c r="H19" s="1"/>
  <c r="L56"/>
  <c r="R78"/>
  <c r="S69"/>
  <c r="G45" i="30"/>
  <c r="G46" s="1"/>
  <c r="H40"/>
  <c r="I40" s="1"/>
  <c r="J12" s="1"/>
  <c r="J15" s="1"/>
  <c r="N14" s="1"/>
  <c r="K69" i="29"/>
  <c r="R75" s="1"/>
  <c r="R76" s="1"/>
  <c r="S69"/>
  <c r="R71"/>
  <c r="K68"/>
  <c r="R74"/>
  <c r="J19"/>
  <c r="H9"/>
  <c r="C22"/>
  <c r="D22"/>
  <c r="I29" i="30"/>
  <c r="M73" i="29"/>
  <c r="F35"/>
  <c r="K113"/>
  <c r="K9"/>
  <c r="K82"/>
  <c r="F20"/>
  <c r="K62"/>
  <c r="F37" s="1"/>
  <c r="F34"/>
  <c r="K66"/>
  <c r="F38" s="1"/>
  <c r="K83"/>
  <c r="J106"/>
  <c r="J113" s="1"/>
  <c r="L51"/>
  <c r="R63"/>
  <c r="R78"/>
  <c r="J93"/>
  <c r="K93" s="1"/>
  <c r="L56"/>
  <c r="G4"/>
  <c r="G19" s="1"/>
  <c r="K4"/>
  <c r="K19" s="1"/>
  <c r="H6"/>
  <c r="H4" s="1"/>
  <c r="H19" s="1"/>
  <c r="M52"/>
  <c r="K57"/>
  <c r="F36" s="1"/>
  <c r="R69" i="27"/>
  <c r="R63"/>
  <c r="G45" i="28"/>
  <c r="G46" s="1"/>
  <c r="H40"/>
  <c r="H35"/>
  <c r="K66" i="25"/>
  <c r="F38" s="1"/>
  <c r="K61"/>
  <c r="R61" s="1"/>
  <c r="I29" i="28"/>
  <c r="J14" s="1"/>
  <c r="K62" i="27"/>
  <c r="F37" s="1"/>
  <c r="K66"/>
  <c r="F38" s="1"/>
  <c r="J19"/>
  <c r="C22"/>
  <c r="C10"/>
  <c r="D10"/>
  <c r="D22" s="1"/>
  <c r="K9"/>
  <c r="K82"/>
  <c r="K52"/>
  <c r="M52"/>
  <c r="L51"/>
  <c r="J93"/>
  <c r="K93" s="1"/>
  <c r="F22"/>
  <c r="J106"/>
  <c r="J113" s="1"/>
  <c r="K113" s="1"/>
  <c r="F34"/>
  <c r="R78"/>
  <c r="K6"/>
  <c r="H15"/>
  <c r="H9" s="1"/>
  <c r="L56"/>
  <c r="R61"/>
  <c r="R65"/>
  <c r="K67"/>
  <c r="K68"/>
  <c r="K69"/>
  <c r="R75" s="1"/>
  <c r="R76" s="1"/>
  <c r="R73"/>
  <c r="G4"/>
  <c r="G19" s="1"/>
  <c r="H6"/>
  <c r="H4" s="1"/>
  <c r="K57"/>
  <c r="F36" s="1"/>
  <c r="S69"/>
  <c r="S65"/>
  <c r="H40" i="26"/>
  <c r="I40" s="1"/>
  <c r="J12" s="1"/>
  <c r="I29"/>
  <c r="J19" i="25"/>
  <c r="H6"/>
  <c r="H4"/>
  <c r="D10"/>
  <c r="C22"/>
  <c r="K52"/>
  <c r="M52"/>
  <c r="L51"/>
  <c r="D22"/>
  <c r="J110"/>
  <c r="F22"/>
  <c r="K47"/>
  <c r="J106"/>
  <c r="J113" s="1"/>
  <c r="K9"/>
  <c r="K82"/>
  <c r="J93"/>
  <c r="K93" s="1"/>
  <c r="K113"/>
  <c r="G19"/>
  <c r="K6"/>
  <c r="H15"/>
  <c r="H9" s="1"/>
  <c r="L56"/>
  <c r="R65"/>
  <c r="K67"/>
  <c r="K68"/>
  <c r="K69"/>
  <c r="R73"/>
  <c r="R78"/>
  <c r="K57"/>
  <c r="F36" s="1"/>
  <c r="S69"/>
  <c r="S65"/>
  <c r="H40" i="24"/>
  <c r="H35"/>
  <c r="I29"/>
  <c r="R71" i="23"/>
  <c r="K66"/>
  <c r="F38" s="1"/>
  <c r="J19"/>
  <c r="K15"/>
  <c r="G19"/>
  <c r="H15"/>
  <c r="H9" s="1"/>
  <c r="D10"/>
  <c r="D22" s="1"/>
  <c r="C22"/>
  <c r="M52"/>
  <c r="L51"/>
  <c r="K52"/>
  <c r="J93"/>
  <c r="K93" s="1"/>
  <c r="K113"/>
  <c r="H4"/>
  <c r="H19" s="1"/>
  <c r="K47"/>
  <c r="F20"/>
  <c r="M56"/>
  <c r="R61"/>
  <c r="L56"/>
  <c r="K69"/>
  <c r="K70" s="1"/>
  <c r="F39" s="1"/>
  <c r="S69"/>
  <c r="G38" i="22"/>
  <c r="G34"/>
  <c r="G40"/>
  <c r="G45" s="1"/>
  <c r="G46" s="1"/>
  <c r="G35"/>
  <c r="G37"/>
  <c r="G27"/>
  <c r="H71" i="21"/>
  <c r="I69"/>
  <c r="G15"/>
  <c r="G5"/>
  <c r="G6"/>
  <c r="J16"/>
  <c r="N35" i="22"/>
  <c r="G33"/>
  <c r="G32"/>
  <c r="H35" s="1"/>
  <c r="H29"/>
  <c r="H26"/>
  <c r="N12"/>
  <c r="S7"/>
  <c r="P7"/>
  <c r="N6"/>
  <c r="N5"/>
  <c r="N4"/>
  <c r="J3"/>
  <c r="J18" s="1"/>
  <c r="I109" i="21"/>
  <c r="H109"/>
  <c r="G109"/>
  <c r="J109" s="1"/>
  <c r="J108"/>
  <c r="J107"/>
  <c r="J110" s="1"/>
  <c r="I104"/>
  <c r="H104"/>
  <c r="J104" s="1"/>
  <c r="G104"/>
  <c r="H103"/>
  <c r="G103"/>
  <c r="J103" s="1"/>
  <c r="I102"/>
  <c r="G102"/>
  <c r="J102" s="1"/>
  <c r="F99"/>
  <c r="F96"/>
  <c r="F95"/>
  <c r="F100" s="1"/>
  <c r="H93"/>
  <c r="G93"/>
  <c r="J83"/>
  <c r="R78"/>
  <c r="K76"/>
  <c r="K75"/>
  <c r="K77" s="1"/>
  <c r="R74"/>
  <c r="R73"/>
  <c r="R72"/>
  <c r="K72"/>
  <c r="K71"/>
  <c r="S69"/>
  <c r="K69"/>
  <c r="R71"/>
  <c r="R68"/>
  <c r="R69" s="1"/>
  <c r="K68"/>
  <c r="R67"/>
  <c r="K67"/>
  <c r="S65"/>
  <c r="K65"/>
  <c r="R64"/>
  <c r="R65" s="1"/>
  <c r="K64"/>
  <c r="R63"/>
  <c r="K63"/>
  <c r="K66" s="1"/>
  <c r="F38" s="1"/>
  <c r="K61"/>
  <c r="K60"/>
  <c r="K59"/>
  <c r="K58"/>
  <c r="K56"/>
  <c r="K55"/>
  <c r="K54"/>
  <c r="K53"/>
  <c r="K57" s="1"/>
  <c r="F36" s="1"/>
  <c r="R52"/>
  <c r="K51"/>
  <c r="K50"/>
  <c r="K49"/>
  <c r="J48"/>
  <c r="I48"/>
  <c r="G48"/>
  <c r="K48" s="1"/>
  <c r="K46"/>
  <c r="K45"/>
  <c r="K44"/>
  <c r="J43"/>
  <c r="G43"/>
  <c r="K43" s="1"/>
  <c r="K42"/>
  <c r="L33"/>
  <c r="F32"/>
  <c r="N30"/>
  <c r="L30"/>
  <c r="M26"/>
  <c r="H26"/>
  <c r="G26"/>
  <c r="M22"/>
  <c r="M21"/>
  <c r="L21"/>
  <c r="N20"/>
  <c r="M20"/>
  <c r="O17"/>
  <c r="K17"/>
  <c r="H17"/>
  <c r="D17"/>
  <c r="O16"/>
  <c r="D16"/>
  <c r="O15"/>
  <c r="J15"/>
  <c r="K15" s="1"/>
  <c r="F15"/>
  <c r="H15" s="1"/>
  <c r="H9" s="1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D10"/>
  <c r="C10"/>
  <c r="B10"/>
  <c r="B22" s="1"/>
  <c r="F20" s="1"/>
  <c r="M9"/>
  <c r="J9"/>
  <c r="I9"/>
  <c r="G9"/>
  <c r="F9"/>
  <c r="D9"/>
  <c r="C9" s="1"/>
  <c r="C22" s="1"/>
  <c r="K8"/>
  <c r="H8"/>
  <c r="K7"/>
  <c r="H7"/>
  <c r="D7"/>
  <c r="M6"/>
  <c r="K6"/>
  <c r="K80" s="1"/>
  <c r="F6"/>
  <c r="H6" s="1"/>
  <c r="D6"/>
  <c r="K5"/>
  <c r="K79" s="1"/>
  <c r="H5"/>
  <c r="D5"/>
  <c r="K4"/>
  <c r="J4"/>
  <c r="J19" s="1"/>
  <c r="I4"/>
  <c r="I19" s="1"/>
  <c r="G4"/>
  <c r="G19" s="1"/>
  <c r="F4"/>
  <c r="F19" s="1"/>
  <c r="D4"/>
  <c r="G39" i="20"/>
  <c r="S12" i="46" l="1"/>
  <c r="J13"/>
  <c r="J9" s="1"/>
  <c r="N13"/>
  <c r="K91" i="45"/>
  <c r="F22"/>
  <c r="H22"/>
  <c r="K26" i="43"/>
  <c r="N21"/>
  <c r="J9" i="44"/>
  <c r="N13" i="42"/>
  <c r="T10"/>
  <c r="J13"/>
  <c r="J9" s="1"/>
  <c r="S12"/>
  <c r="I26" i="41"/>
  <c r="K26" s="1"/>
  <c r="N21"/>
  <c r="H20" i="39"/>
  <c r="K85" s="1"/>
  <c r="G20"/>
  <c r="G22" s="1"/>
  <c r="J40" i="40"/>
  <c r="J41" s="1"/>
  <c r="S12"/>
  <c r="T10"/>
  <c r="J10"/>
  <c r="J13"/>
  <c r="N13"/>
  <c r="F40" i="39"/>
  <c r="J26" s="1"/>
  <c r="F35"/>
  <c r="M73"/>
  <c r="K73"/>
  <c r="K80"/>
  <c r="K83" s="1"/>
  <c r="K4"/>
  <c r="K19" s="1"/>
  <c r="F22"/>
  <c r="I40" i="37"/>
  <c r="J12" s="1"/>
  <c r="J11"/>
  <c r="T10" s="1"/>
  <c r="M19" i="38"/>
  <c r="F35"/>
  <c r="F40" s="1"/>
  <c r="J26" s="1"/>
  <c r="M73"/>
  <c r="H22"/>
  <c r="K80"/>
  <c r="K83" s="1"/>
  <c r="K4"/>
  <c r="K19" s="1"/>
  <c r="F22"/>
  <c r="K73"/>
  <c r="K9" i="35"/>
  <c r="M19"/>
  <c r="H20"/>
  <c r="K85" s="1"/>
  <c r="N14" i="36"/>
  <c r="J40"/>
  <c r="J41" s="1"/>
  <c r="J11"/>
  <c r="J10" s="1"/>
  <c r="J14"/>
  <c r="J13" s="1"/>
  <c r="S12"/>
  <c r="K80" i="35"/>
  <c r="K83" s="1"/>
  <c r="K4"/>
  <c r="H22"/>
  <c r="M73"/>
  <c r="F35"/>
  <c r="F40" s="1"/>
  <c r="J26" s="1"/>
  <c r="K73"/>
  <c r="F22"/>
  <c r="N14" i="34"/>
  <c r="S12"/>
  <c r="J40"/>
  <c r="J41" s="1"/>
  <c r="J11"/>
  <c r="J10" s="1"/>
  <c r="H22" i="33"/>
  <c r="I26" s="1"/>
  <c r="G20"/>
  <c r="G22" s="1"/>
  <c r="J13" i="34"/>
  <c r="F22" i="33"/>
  <c r="F35"/>
  <c r="M73"/>
  <c r="K73"/>
  <c r="K84" s="1"/>
  <c r="K86" s="1"/>
  <c r="F34"/>
  <c r="F40" s="1"/>
  <c r="J26" s="1"/>
  <c r="N14" i="32"/>
  <c r="J15"/>
  <c r="S12" s="1"/>
  <c r="J40"/>
  <c r="J41" s="1"/>
  <c r="J11"/>
  <c r="H20" i="31"/>
  <c r="K85" s="1"/>
  <c r="K70"/>
  <c r="F39" s="1"/>
  <c r="M19"/>
  <c r="F22"/>
  <c r="F35"/>
  <c r="F40" s="1"/>
  <c r="J26" s="1"/>
  <c r="M73"/>
  <c r="K70" i="29"/>
  <c r="F39" s="1"/>
  <c r="F40" s="1"/>
  <c r="J26" s="1"/>
  <c r="G20"/>
  <c r="M19" s="1"/>
  <c r="S12" i="30"/>
  <c r="J40"/>
  <c r="J41" s="1"/>
  <c r="J11"/>
  <c r="H20" i="29"/>
  <c r="K85" s="1"/>
  <c r="F22"/>
  <c r="H19" i="27"/>
  <c r="H20" s="1"/>
  <c r="K85" s="1"/>
  <c r="I40" i="28"/>
  <c r="J12" s="1"/>
  <c r="J15" s="1"/>
  <c r="N14" s="1"/>
  <c r="K62" i="25"/>
  <c r="F37" s="1"/>
  <c r="R75"/>
  <c r="R76" s="1"/>
  <c r="J15" i="26"/>
  <c r="J13" s="1"/>
  <c r="J11"/>
  <c r="T10" s="1"/>
  <c r="J14"/>
  <c r="J11" i="28"/>
  <c r="T10" s="1"/>
  <c r="K70" i="27"/>
  <c r="F39" s="1"/>
  <c r="G20"/>
  <c r="M19" s="1"/>
  <c r="M73"/>
  <c r="F35"/>
  <c r="K80"/>
  <c r="K83" s="1"/>
  <c r="K4"/>
  <c r="K19" s="1"/>
  <c r="J10" i="26"/>
  <c r="J40"/>
  <c r="J41" s="1"/>
  <c r="H19" i="25"/>
  <c r="H20" s="1"/>
  <c r="K85" s="1"/>
  <c r="G20"/>
  <c r="M19" s="1"/>
  <c r="F34"/>
  <c r="M73"/>
  <c r="F35"/>
  <c r="K80"/>
  <c r="K83" s="1"/>
  <c r="K4"/>
  <c r="K19" s="1"/>
  <c r="K70"/>
  <c r="F39" s="1"/>
  <c r="I40" i="24"/>
  <c r="J12" s="1"/>
  <c r="N14" s="1"/>
  <c r="J11"/>
  <c r="K82" i="23"/>
  <c r="K83" s="1"/>
  <c r="K9"/>
  <c r="K19" s="1"/>
  <c r="G20"/>
  <c r="G22" s="1"/>
  <c r="H20"/>
  <c r="K85" s="1"/>
  <c r="F34"/>
  <c r="K73"/>
  <c r="H22"/>
  <c r="I26" s="1"/>
  <c r="M73"/>
  <c r="F35"/>
  <c r="R75"/>
  <c r="R76" s="1"/>
  <c r="F22"/>
  <c r="H40" i="22"/>
  <c r="I40" s="1"/>
  <c r="J12" s="1"/>
  <c r="K70" i="21"/>
  <c r="F39" s="1"/>
  <c r="R75"/>
  <c r="R76" s="1"/>
  <c r="K62"/>
  <c r="F37" s="1"/>
  <c r="H4"/>
  <c r="H19" s="1"/>
  <c r="D22"/>
  <c r="I29" i="22"/>
  <c r="J93" i="21"/>
  <c r="K93" s="1"/>
  <c r="G20"/>
  <c r="G22" s="1"/>
  <c r="K82"/>
  <c r="K83" s="1"/>
  <c r="K9"/>
  <c r="M52"/>
  <c r="L51"/>
  <c r="K52"/>
  <c r="F22"/>
  <c r="K19"/>
  <c r="K47"/>
  <c r="J106"/>
  <c r="J113" s="1"/>
  <c r="K113" s="1"/>
  <c r="M56"/>
  <c r="R61"/>
  <c r="L56"/>
  <c r="G27" i="20"/>
  <c r="K15" i="19"/>
  <c r="J15"/>
  <c r="H69"/>
  <c r="I26" i="45" l="1"/>
  <c r="K26" s="1"/>
  <c r="N21"/>
  <c r="H22" i="39"/>
  <c r="N21" s="1"/>
  <c r="M19"/>
  <c r="J9" i="40"/>
  <c r="K84" i="39"/>
  <c r="K86" s="1"/>
  <c r="N14" i="37"/>
  <c r="J13"/>
  <c r="S12"/>
  <c r="J40"/>
  <c r="J41" s="1"/>
  <c r="J10"/>
  <c r="J9" s="1"/>
  <c r="N13"/>
  <c r="K84" i="38"/>
  <c r="K86" s="1"/>
  <c r="I26"/>
  <c r="K26" s="1"/>
  <c r="N21"/>
  <c r="K19" i="35"/>
  <c r="T10" i="36"/>
  <c r="N13" i="34"/>
  <c r="T10"/>
  <c r="N13" i="36"/>
  <c r="J9"/>
  <c r="I26" i="35"/>
  <c r="K26" s="1"/>
  <c r="N21"/>
  <c r="K84"/>
  <c r="K86" s="1"/>
  <c r="K26" i="33"/>
  <c r="N21"/>
  <c r="M19"/>
  <c r="J9" i="34"/>
  <c r="K73" i="31"/>
  <c r="K84" s="1"/>
  <c r="K86" s="1"/>
  <c r="H22"/>
  <c r="I26" s="1"/>
  <c r="K26" s="1"/>
  <c r="J10" i="32"/>
  <c r="T10"/>
  <c r="J13"/>
  <c r="N13"/>
  <c r="K73" i="29"/>
  <c r="K84" s="1"/>
  <c r="K86" s="1"/>
  <c r="G22"/>
  <c r="H22"/>
  <c r="I26" s="1"/>
  <c r="K26" s="1"/>
  <c r="T10" i="30"/>
  <c r="J10"/>
  <c r="J13"/>
  <c r="N13"/>
  <c r="S12" i="28"/>
  <c r="J40"/>
  <c r="J41" s="1"/>
  <c r="J13"/>
  <c r="N14" i="26"/>
  <c r="S12"/>
  <c r="N13" i="28"/>
  <c r="J10"/>
  <c r="H22" i="27"/>
  <c r="I26" s="1"/>
  <c r="K73"/>
  <c r="K84" s="1"/>
  <c r="K86" s="1"/>
  <c r="F40"/>
  <c r="J26" s="1"/>
  <c r="G22"/>
  <c r="J9" i="26"/>
  <c r="N13"/>
  <c r="G22" i="25"/>
  <c r="H22"/>
  <c r="I26" s="1"/>
  <c r="K73"/>
  <c r="K84" s="1"/>
  <c r="K86" s="1"/>
  <c r="F40"/>
  <c r="J26" s="1"/>
  <c r="J40" i="24"/>
  <c r="J41" s="1"/>
  <c r="S12"/>
  <c r="J10"/>
  <c r="J13"/>
  <c r="N13"/>
  <c r="K84" i="23"/>
  <c r="K86" s="1"/>
  <c r="M19"/>
  <c r="N21"/>
  <c r="F40"/>
  <c r="J26" s="1"/>
  <c r="K26" s="1"/>
  <c r="J13" i="22"/>
  <c r="J11"/>
  <c r="J10" s="1"/>
  <c r="N14"/>
  <c r="H20" i="21"/>
  <c r="K85" s="1"/>
  <c r="M19"/>
  <c r="H22"/>
  <c r="I26" s="1"/>
  <c r="S12" i="22"/>
  <c r="J40"/>
  <c r="J41" s="1"/>
  <c r="M73" i="21"/>
  <c r="F35"/>
  <c r="F34"/>
  <c r="F40" s="1"/>
  <c r="J26" s="1"/>
  <c r="K73"/>
  <c r="K84" s="1"/>
  <c r="K86" s="1"/>
  <c r="N21"/>
  <c r="G34" i="20"/>
  <c r="G32"/>
  <c r="G29"/>
  <c r="G33"/>
  <c r="F38" i="19"/>
  <c r="J65"/>
  <c r="K79"/>
  <c r="F15"/>
  <c r="F6"/>
  <c r="I26" i="39" l="1"/>
  <c r="K26" s="1"/>
  <c r="J9" i="32"/>
  <c r="N21" i="31"/>
  <c r="J9" i="30"/>
  <c r="N21" i="29"/>
  <c r="J9" i="28"/>
  <c r="N21" i="27"/>
  <c r="K26"/>
  <c r="N21" i="25"/>
  <c r="K26"/>
  <c r="J9" i="24"/>
  <c r="K26" i="21"/>
  <c r="N13" i="22"/>
  <c r="J9"/>
  <c r="K6" i="17"/>
  <c r="J6"/>
  <c r="H7"/>
  <c r="G6"/>
  <c r="I65"/>
  <c r="I64"/>
  <c r="H64"/>
  <c r="H65"/>
  <c r="J16"/>
  <c r="G16"/>
  <c r="H29" i="20"/>
  <c r="H40"/>
  <c r="I40" s="1"/>
  <c r="N35"/>
  <c r="G45"/>
  <c r="G46" s="1"/>
  <c r="H35"/>
  <c r="H26"/>
  <c r="N12"/>
  <c r="S7"/>
  <c r="P7"/>
  <c r="N6"/>
  <c r="N5"/>
  <c r="N4"/>
  <c r="J3"/>
  <c r="J18" s="1"/>
  <c r="S65" i="19"/>
  <c r="K65"/>
  <c r="R64"/>
  <c r="R65" s="1"/>
  <c r="K64"/>
  <c r="R63"/>
  <c r="K63"/>
  <c r="G40" i="18"/>
  <c r="G39"/>
  <c r="I63" i="17"/>
  <c r="J65"/>
  <c r="J61"/>
  <c r="I61"/>
  <c r="I109" i="19"/>
  <c r="H109"/>
  <c r="G109"/>
  <c r="J108"/>
  <c r="J107"/>
  <c r="I104"/>
  <c r="H104"/>
  <c r="G104"/>
  <c r="H103"/>
  <c r="G103"/>
  <c r="I102"/>
  <c r="G102"/>
  <c r="F99"/>
  <c r="F96"/>
  <c r="F95"/>
  <c r="H93"/>
  <c r="G93"/>
  <c r="J83"/>
  <c r="K76"/>
  <c r="K75"/>
  <c r="K72"/>
  <c r="R74"/>
  <c r="K67"/>
  <c r="R68"/>
  <c r="R69" s="1"/>
  <c r="K60"/>
  <c r="R71"/>
  <c r="R72"/>
  <c r="K56"/>
  <c r="K55"/>
  <c r="K54"/>
  <c r="K53"/>
  <c r="K51"/>
  <c r="K50"/>
  <c r="K49"/>
  <c r="J48"/>
  <c r="I48"/>
  <c r="G48"/>
  <c r="K46"/>
  <c r="K45"/>
  <c r="K44"/>
  <c r="J43"/>
  <c r="G43"/>
  <c r="K42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H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D10"/>
  <c r="C10"/>
  <c r="B10"/>
  <c r="B22" s="1"/>
  <c r="M9"/>
  <c r="I9"/>
  <c r="G9"/>
  <c r="F9"/>
  <c r="D9"/>
  <c r="C9" s="1"/>
  <c r="C22" s="1"/>
  <c r="K8"/>
  <c r="K81" s="1"/>
  <c r="H8"/>
  <c r="K7"/>
  <c r="H7"/>
  <c r="D7"/>
  <c r="M6"/>
  <c r="K6"/>
  <c r="K80" s="1"/>
  <c r="H6"/>
  <c r="D6"/>
  <c r="K5"/>
  <c r="H5"/>
  <c r="D5"/>
  <c r="J4"/>
  <c r="I4"/>
  <c r="G4"/>
  <c r="F4"/>
  <c r="D4"/>
  <c r="G19" l="1"/>
  <c r="G20" s="1"/>
  <c r="G22" s="1"/>
  <c r="H4"/>
  <c r="H9"/>
  <c r="M56"/>
  <c r="F100"/>
  <c r="I29" i="20"/>
  <c r="J11" s="1"/>
  <c r="J12"/>
  <c r="J15" s="1"/>
  <c r="N14" s="1"/>
  <c r="J14"/>
  <c r="K77" i="19"/>
  <c r="K66"/>
  <c r="F19"/>
  <c r="F20" s="1"/>
  <c r="F22" s="1"/>
  <c r="K43"/>
  <c r="K48"/>
  <c r="K52" s="1"/>
  <c r="K58"/>
  <c r="R73"/>
  <c r="K61"/>
  <c r="R67"/>
  <c r="K68"/>
  <c r="R78"/>
  <c r="K71"/>
  <c r="F32" s="1"/>
  <c r="J102"/>
  <c r="J103"/>
  <c r="J104"/>
  <c r="J109"/>
  <c r="K47"/>
  <c r="F34" s="1"/>
  <c r="I19"/>
  <c r="K4"/>
  <c r="D22"/>
  <c r="J93"/>
  <c r="K93" s="1"/>
  <c r="J110"/>
  <c r="K82"/>
  <c r="K83" s="1"/>
  <c r="K9"/>
  <c r="K19" s="1"/>
  <c r="M52"/>
  <c r="L56"/>
  <c r="K57"/>
  <c r="F36" s="1"/>
  <c r="R61"/>
  <c r="K69"/>
  <c r="S69"/>
  <c r="J9"/>
  <c r="J19" s="1"/>
  <c r="R52"/>
  <c r="K59"/>
  <c r="J10" i="20" l="1"/>
  <c r="L51" i="19"/>
  <c r="H19"/>
  <c r="H20" s="1"/>
  <c r="S12" i="20"/>
  <c r="J40"/>
  <c r="J41" s="1"/>
  <c r="J13"/>
  <c r="N13"/>
  <c r="K62" i="19"/>
  <c r="F37" s="1"/>
  <c r="K70"/>
  <c r="F39" s="1"/>
  <c r="F40" s="1"/>
  <c r="J106"/>
  <c r="J113" s="1"/>
  <c r="K113" s="1"/>
  <c r="R75"/>
  <c r="R76" s="1"/>
  <c r="M73"/>
  <c r="F35"/>
  <c r="M19"/>
  <c r="J9" i="20" l="1"/>
  <c r="K85" i="19"/>
  <c r="H22"/>
  <c r="I26" s="1"/>
  <c r="J26"/>
  <c r="K73"/>
  <c r="K84" l="1"/>
  <c r="K86" s="1"/>
  <c r="K26"/>
  <c r="N21"/>
  <c r="H71" i="17"/>
  <c r="G22" i="18"/>
  <c r="G41" l="1"/>
  <c r="G38"/>
  <c r="H41" s="1"/>
  <c r="N36"/>
  <c r="G36"/>
  <c r="G46" s="1"/>
  <c r="G47" s="1"/>
  <c r="G33"/>
  <c r="H36" s="1"/>
  <c r="H30"/>
  <c r="G30"/>
  <c r="G25"/>
  <c r="H27"/>
  <c r="N12"/>
  <c r="S7"/>
  <c r="P7"/>
  <c r="N6"/>
  <c r="N5"/>
  <c r="N4"/>
  <c r="J3"/>
  <c r="J18" s="1"/>
  <c r="I106" i="17"/>
  <c r="H106"/>
  <c r="G106"/>
  <c r="J106" s="1"/>
  <c r="J105"/>
  <c r="J104"/>
  <c r="I101"/>
  <c r="H101"/>
  <c r="J101" s="1"/>
  <c r="G101"/>
  <c r="H100"/>
  <c r="G100"/>
  <c r="I99"/>
  <c r="G99"/>
  <c r="F96"/>
  <c r="F93"/>
  <c r="F92"/>
  <c r="H90"/>
  <c r="G90"/>
  <c r="J80"/>
  <c r="K73"/>
  <c r="K72"/>
  <c r="K71"/>
  <c r="K74" s="1"/>
  <c r="K68"/>
  <c r="I67"/>
  <c r="H67"/>
  <c r="K65"/>
  <c r="K64"/>
  <c r="J63"/>
  <c r="H63"/>
  <c r="K63" s="1"/>
  <c r="K66" s="1"/>
  <c r="R62"/>
  <c r="R63"/>
  <c r="R64" s="1"/>
  <c r="G61"/>
  <c r="I60"/>
  <c r="S64" s="1"/>
  <c r="I59"/>
  <c r="R68" s="1"/>
  <c r="H59"/>
  <c r="R66" s="1"/>
  <c r="I58"/>
  <c r="K58" s="1"/>
  <c r="K56"/>
  <c r="K55"/>
  <c r="K54"/>
  <c r="K53"/>
  <c r="R51"/>
  <c r="K51"/>
  <c r="K50"/>
  <c r="K49"/>
  <c r="J48"/>
  <c r="I48"/>
  <c r="G48"/>
  <c r="K46"/>
  <c r="K45"/>
  <c r="K44"/>
  <c r="J43"/>
  <c r="G43"/>
  <c r="K43" s="1"/>
  <c r="K42"/>
  <c r="L33"/>
  <c r="N30"/>
  <c r="L30"/>
  <c r="M26"/>
  <c r="H27"/>
  <c r="G27"/>
  <c r="M22"/>
  <c r="M21"/>
  <c r="L21"/>
  <c r="N20"/>
  <c r="M20"/>
  <c r="O17"/>
  <c r="K18"/>
  <c r="H18"/>
  <c r="D17"/>
  <c r="O16"/>
  <c r="D16"/>
  <c r="O15"/>
  <c r="K16"/>
  <c r="K79" s="1"/>
  <c r="H16"/>
  <c r="D15"/>
  <c r="O14"/>
  <c r="K15"/>
  <c r="H15"/>
  <c r="D14"/>
  <c r="O13"/>
  <c r="K14"/>
  <c r="H14"/>
  <c r="D13"/>
  <c r="O12"/>
  <c r="K13"/>
  <c r="H13"/>
  <c r="D12"/>
  <c r="O11"/>
  <c r="K12"/>
  <c r="H12"/>
  <c r="D11"/>
  <c r="K11"/>
  <c r="H11"/>
  <c r="D10"/>
  <c r="C10"/>
  <c r="B10"/>
  <c r="B23" s="1"/>
  <c r="M9"/>
  <c r="J10"/>
  <c r="I10"/>
  <c r="G10"/>
  <c r="F10"/>
  <c r="D9"/>
  <c r="C9" s="1"/>
  <c r="C23" s="1"/>
  <c r="K9"/>
  <c r="K78" s="1"/>
  <c r="H9"/>
  <c r="K8"/>
  <c r="H8"/>
  <c r="D7"/>
  <c r="M6"/>
  <c r="K77"/>
  <c r="H6"/>
  <c r="D6"/>
  <c r="J5"/>
  <c r="K5" s="1"/>
  <c r="K76" s="1"/>
  <c r="H5"/>
  <c r="D5"/>
  <c r="I4"/>
  <c r="I20" s="1"/>
  <c r="G4"/>
  <c r="G20" s="1"/>
  <c r="F4"/>
  <c r="F20" s="1"/>
  <c r="D4"/>
  <c r="H30" i="16"/>
  <c r="G30"/>
  <c r="H64" i="15"/>
  <c r="J15"/>
  <c r="J62"/>
  <c r="G39" i="16"/>
  <c r="J107" i="17" l="1"/>
  <c r="K67"/>
  <c r="F33" s="1"/>
  <c r="K57"/>
  <c r="F37" s="1"/>
  <c r="G21"/>
  <c r="J4"/>
  <c r="J20" s="1"/>
  <c r="F21"/>
  <c r="H10"/>
  <c r="K48"/>
  <c r="L50" s="1"/>
  <c r="R74"/>
  <c r="K60"/>
  <c r="R69"/>
  <c r="F97"/>
  <c r="J90" s="1"/>
  <c r="K90" s="1"/>
  <c r="J99"/>
  <c r="J100"/>
  <c r="K80"/>
  <c r="F39"/>
  <c r="M55"/>
  <c r="K10"/>
  <c r="D23"/>
  <c r="I30" i="18"/>
  <c r="I41"/>
  <c r="J12" s="1"/>
  <c r="J15" s="1"/>
  <c r="N14" s="1"/>
  <c r="G23" i="17"/>
  <c r="K4"/>
  <c r="M51"/>
  <c r="K52"/>
  <c r="H4"/>
  <c r="H20" s="1"/>
  <c r="K47"/>
  <c r="J103"/>
  <c r="J110" s="1"/>
  <c r="K59"/>
  <c r="K61"/>
  <c r="R60" s="1"/>
  <c r="R67"/>
  <c r="L55"/>
  <c r="G40" i="16"/>
  <c r="G9" i="15"/>
  <c r="F20"/>
  <c r="H20"/>
  <c r="K62" i="17" l="1"/>
  <c r="F38" s="1"/>
  <c r="S12" i="18"/>
  <c r="J41"/>
  <c r="J42" s="1"/>
  <c r="K20" i="17"/>
  <c r="J14" i="18"/>
  <c r="J13" s="1"/>
  <c r="M19" i="17"/>
  <c r="J11" i="18"/>
  <c r="J10" s="1"/>
  <c r="F36" i="17"/>
  <c r="M68"/>
  <c r="R70"/>
  <c r="R71" s="1"/>
  <c r="R72" s="1"/>
  <c r="F35"/>
  <c r="F40" s="1"/>
  <c r="J27" s="1"/>
  <c r="H21"/>
  <c r="K82" s="1"/>
  <c r="F23"/>
  <c r="G38" i="16"/>
  <c r="G33"/>
  <c r="F32" i="15"/>
  <c r="K75"/>
  <c r="K76"/>
  <c r="H70"/>
  <c r="I66"/>
  <c r="H66"/>
  <c r="I64"/>
  <c r="H62"/>
  <c r="I62"/>
  <c r="J64"/>
  <c r="K64"/>
  <c r="I63"/>
  <c r="H58"/>
  <c r="H63"/>
  <c r="G36" i="16"/>
  <c r="G41"/>
  <c r="G15" i="15"/>
  <c r="G6"/>
  <c r="J6"/>
  <c r="G22" i="16"/>
  <c r="G4" i="15"/>
  <c r="G5"/>
  <c r="J9"/>
  <c r="K15"/>
  <c r="J5"/>
  <c r="N36" i="16"/>
  <c r="H36"/>
  <c r="G25"/>
  <c r="N12"/>
  <c r="S7"/>
  <c r="P7"/>
  <c r="N6"/>
  <c r="N5"/>
  <c r="N4"/>
  <c r="J3"/>
  <c r="J18" s="1"/>
  <c r="I105" i="15"/>
  <c r="H105"/>
  <c r="G105"/>
  <c r="J105" s="1"/>
  <c r="J104"/>
  <c r="J103"/>
  <c r="J106" s="1"/>
  <c r="I100"/>
  <c r="H100"/>
  <c r="J100" s="1"/>
  <c r="G100"/>
  <c r="H99"/>
  <c r="G99"/>
  <c r="J99" s="1"/>
  <c r="I98"/>
  <c r="G98"/>
  <c r="J98" s="1"/>
  <c r="F95"/>
  <c r="F92"/>
  <c r="F91"/>
  <c r="F96" s="1"/>
  <c r="H89"/>
  <c r="G89"/>
  <c r="J79"/>
  <c r="K72"/>
  <c r="K71"/>
  <c r="K70"/>
  <c r="K73" s="1"/>
  <c r="K67"/>
  <c r="R74"/>
  <c r="K66"/>
  <c r="R69"/>
  <c r="K63"/>
  <c r="K62"/>
  <c r="J60"/>
  <c r="I60"/>
  <c r="G60"/>
  <c r="K60" s="1"/>
  <c r="K59"/>
  <c r="I59"/>
  <c r="S64" s="1"/>
  <c r="I58"/>
  <c r="R68" s="1"/>
  <c r="R66"/>
  <c r="I57"/>
  <c r="K57" s="1"/>
  <c r="K55"/>
  <c r="K54"/>
  <c r="K53"/>
  <c r="K52"/>
  <c r="K56" s="1"/>
  <c r="F36" s="1"/>
  <c r="R51"/>
  <c r="K50"/>
  <c r="K49"/>
  <c r="K48"/>
  <c r="J47"/>
  <c r="I47"/>
  <c r="G47"/>
  <c r="K47" s="1"/>
  <c r="K45"/>
  <c r="K44"/>
  <c r="K43"/>
  <c r="J42"/>
  <c r="G42"/>
  <c r="K42" s="1"/>
  <c r="K41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H15"/>
  <c r="H9" s="1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D10"/>
  <c r="C10"/>
  <c r="B10"/>
  <c r="B22" s="1"/>
  <c r="M9"/>
  <c r="I9"/>
  <c r="F9"/>
  <c r="D9"/>
  <c r="C9" s="1"/>
  <c r="K8"/>
  <c r="K77" s="1"/>
  <c r="H8"/>
  <c r="K7"/>
  <c r="H7"/>
  <c r="D7"/>
  <c r="M6"/>
  <c r="K6"/>
  <c r="H6"/>
  <c r="D6"/>
  <c r="K5"/>
  <c r="H5"/>
  <c r="D5"/>
  <c r="J4"/>
  <c r="I4"/>
  <c r="F4"/>
  <c r="F19" s="1"/>
  <c r="D4"/>
  <c r="G45" i="14"/>
  <c r="G46" s="1"/>
  <c r="H40"/>
  <c r="N35"/>
  <c r="G35"/>
  <c r="G32"/>
  <c r="H35" s="1"/>
  <c r="I40" s="1"/>
  <c r="J12" s="1"/>
  <c r="H29"/>
  <c r="G25"/>
  <c r="G22"/>
  <c r="H27" s="1"/>
  <c r="I29" s="1"/>
  <c r="J18"/>
  <c r="N12"/>
  <c r="S7"/>
  <c r="P7"/>
  <c r="N6"/>
  <c r="N5"/>
  <c r="N4"/>
  <c r="J3"/>
  <c r="I105" i="13"/>
  <c r="H105"/>
  <c r="G105"/>
  <c r="J105" s="1"/>
  <c r="J104"/>
  <c r="J103"/>
  <c r="J106" s="1"/>
  <c r="I100"/>
  <c r="H100"/>
  <c r="G100"/>
  <c r="J100" s="1"/>
  <c r="H99"/>
  <c r="G99"/>
  <c r="J99" s="1"/>
  <c r="I98"/>
  <c r="G98"/>
  <c r="J98" s="1"/>
  <c r="J102" s="1"/>
  <c r="J109" s="1"/>
  <c r="F95"/>
  <c r="F92"/>
  <c r="F91"/>
  <c r="F96" s="1"/>
  <c r="H89"/>
  <c r="G89"/>
  <c r="J79"/>
  <c r="K72"/>
  <c r="K71"/>
  <c r="K70"/>
  <c r="K73" s="1"/>
  <c r="H70"/>
  <c r="K67"/>
  <c r="I66"/>
  <c r="R74" s="1"/>
  <c r="H66"/>
  <c r="K66" s="1"/>
  <c r="F32" s="1"/>
  <c r="J64"/>
  <c r="I64"/>
  <c r="H64"/>
  <c r="K64" s="1"/>
  <c r="I63"/>
  <c r="R69" s="1"/>
  <c r="H63"/>
  <c r="K63" s="1"/>
  <c r="J62"/>
  <c r="I62"/>
  <c r="H62"/>
  <c r="K62" s="1"/>
  <c r="K65" s="1"/>
  <c r="F38" s="1"/>
  <c r="J60"/>
  <c r="R62" s="1"/>
  <c r="I60"/>
  <c r="R63" s="1"/>
  <c r="R64" s="1"/>
  <c r="G60"/>
  <c r="K60" s="1"/>
  <c r="K59"/>
  <c r="I59"/>
  <c r="S64" s="1"/>
  <c r="I58"/>
  <c r="R68" s="1"/>
  <c r="H58"/>
  <c r="R66" s="1"/>
  <c r="I57"/>
  <c r="K57" s="1"/>
  <c r="K55"/>
  <c r="K54"/>
  <c r="K53"/>
  <c r="K52"/>
  <c r="K56" s="1"/>
  <c r="F36" s="1"/>
  <c r="R51"/>
  <c r="K50"/>
  <c r="K49"/>
  <c r="K48"/>
  <c r="J47"/>
  <c r="I47"/>
  <c r="G47"/>
  <c r="K47" s="1"/>
  <c r="K45"/>
  <c r="K44"/>
  <c r="K43"/>
  <c r="R70" s="1"/>
  <c r="R71" s="1"/>
  <c r="R72" s="1"/>
  <c r="J42"/>
  <c r="G42"/>
  <c r="K42" s="1"/>
  <c r="K41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J15"/>
  <c r="K15" s="1"/>
  <c r="G15"/>
  <c r="H15" s="1"/>
  <c r="H9" s="1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D10"/>
  <c r="C10"/>
  <c r="B10"/>
  <c r="B22" s="1"/>
  <c r="M9"/>
  <c r="J9"/>
  <c r="I9"/>
  <c r="G9"/>
  <c r="F9"/>
  <c r="D9"/>
  <c r="C9" s="1"/>
  <c r="C22" s="1"/>
  <c r="G20" s="1"/>
  <c r="K8"/>
  <c r="K77" s="1"/>
  <c r="H8"/>
  <c r="K7"/>
  <c r="H7"/>
  <c r="D7"/>
  <c r="M6"/>
  <c r="K6"/>
  <c r="K76" s="1"/>
  <c r="J6"/>
  <c r="H6"/>
  <c r="G6"/>
  <c r="D6"/>
  <c r="J5"/>
  <c r="K5" s="1"/>
  <c r="G5"/>
  <c r="H5" s="1"/>
  <c r="H4" s="1"/>
  <c r="H19" s="1"/>
  <c r="D5"/>
  <c r="J4"/>
  <c r="J19" s="1"/>
  <c r="I4"/>
  <c r="I19" s="1"/>
  <c r="G4"/>
  <c r="G19" s="1"/>
  <c r="F4"/>
  <c r="F19" s="1"/>
  <c r="D4"/>
  <c r="D22" s="1"/>
  <c r="H20" s="1"/>
  <c r="K81" s="1"/>
  <c r="K69" i="17" l="1"/>
  <c r="K81" s="1"/>
  <c r="J9" i="18"/>
  <c r="N13"/>
  <c r="H23" i="17"/>
  <c r="I19" i="15"/>
  <c r="H27" i="16"/>
  <c r="I30" s="1"/>
  <c r="R70" i="15"/>
  <c r="R71" s="1"/>
  <c r="R72" s="1"/>
  <c r="R63"/>
  <c r="R64" s="1"/>
  <c r="K65"/>
  <c r="F38" s="1"/>
  <c r="F39" s="1"/>
  <c r="R62"/>
  <c r="H41" i="16"/>
  <c r="I41" s="1"/>
  <c r="J12" s="1"/>
  <c r="J15" s="1"/>
  <c r="G46"/>
  <c r="G47" s="1"/>
  <c r="G19" i="15"/>
  <c r="H4"/>
  <c r="H19" s="1"/>
  <c r="J19"/>
  <c r="D22"/>
  <c r="K81" s="1"/>
  <c r="C22"/>
  <c r="K78"/>
  <c r="K9"/>
  <c r="J89"/>
  <c r="K89" s="1"/>
  <c r="K4"/>
  <c r="K79"/>
  <c r="M51"/>
  <c r="L50"/>
  <c r="K51"/>
  <c r="K46"/>
  <c r="J102"/>
  <c r="J109" s="1"/>
  <c r="K109" s="1"/>
  <c r="M55"/>
  <c r="K58"/>
  <c r="K61" s="1"/>
  <c r="F37" s="1"/>
  <c r="R67"/>
  <c r="L55"/>
  <c r="R60"/>
  <c r="S12" i="14"/>
  <c r="J15"/>
  <c r="N14" s="1"/>
  <c r="J41"/>
  <c r="J40"/>
  <c r="J14"/>
  <c r="J11"/>
  <c r="J10" s="1"/>
  <c r="H22" i="13"/>
  <c r="I26" s="1"/>
  <c r="K78"/>
  <c r="K9"/>
  <c r="J89"/>
  <c r="K89" s="1"/>
  <c r="K109"/>
  <c r="G22"/>
  <c r="K4"/>
  <c r="K19" s="1"/>
  <c r="K75"/>
  <c r="K79" s="1"/>
  <c r="M51"/>
  <c r="L50"/>
  <c r="K51"/>
  <c r="F20"/>
  <c r="M19" s="1"/>
  <c r="K46"/>
  <c r="M55"/>
  <c r="K58"/>
  <c r="K61" s="1"/>
  <c r="F37" s="1"/>
  <c r="R67"/>
  <c r="L55"/>
  <c r="R60"/>
  <c r="K83" i="17" l="1"/>
  <c r="K110"/>
  <c r="I27"/>
  <c r="K27" s="1"/>
  <c r="N21"/>
  <c r="J11" i="16"/>
  <c r="J14"/>
  <c r="G20" i="15"/>
  <c r="G22" s="1"/>
  <c r="J10" i="16"/>
  <c r="J41"/>
  <c r="J42" s="1"/>
  <c r="N14"/>
  <c r="H22" i="15"/>
  <c r="I26" s="1"/>
  <c r="K19"/>
  <c r="N13" i="16"/>
  <c r="F35" i="15"/>
  <c r="M68"/>
  <c r="K68"/>
  <c r="F34"/>
  <c r="J26" s="1"/>
  <c r="F22"/>
  <c r="N21"/>
  <c r="N13" i="14"/>
  <c r="J13"/>
  <c r="J9" s="1"/>
  <c r="F35" i="13"/>
  <c r="M68"/>
  <c r="K68"/>
  <c r="K80" s="1"/>
  <c r="K82" s="1"/>
  <c r="F34"/>
  <c r="F39" s="1"/>
  <c r="J26" s="1"/>
  <c r="K26" s="1"/>
  <c r="F22"/>
  <c r="N21"/>
  <c r="K26" i="15" l="1"/>
  <c r="M19"/>
  <c r="S12" i="16"/>
  <c r="J13"/>
  <c r="J9" s="1"/>
  <c r="K80" i="15"/>
  <c r="K82" s="1"/>
  <c r="G60" i="9"/>
  <c r="I58"/>
  <c r="H58"/>
  <c r="H40" i="12"/>
  <c r="G40"/>
  <c r="G39"/>
  <c r="G38"/>
  <c r="N35"/>
  <c r="H35"/>
  <c r="I40" s="1"/>
  <c r="J12" s="1"/>
  <c r="G35"/>
  <c r="G45" s="1"/>
  <c r="G46" s="1"/>
  <c r="G32"/>
  <c r="H29"/>
  <c r="G29"/>
  <c r="G28"/>
  <c r="H27"/>
  <c r="I29" s="1"/>
  <c r="G25"/>
  <c r="G22"/>
  <c r="N12"/>
  <c r="S7"/>
  <c r="P7"/>
  <c r="N6"/>
  <c r="N5"/>
  <c r="N4"/>
  <c r="J3"/>
  <c r="J18" s="1"/>
  <c r="I105" i="11"/>
  <c r="H105"/>
  <c r="J105" s="1"/>
  <c r="G105"/>
  <c r="J104"/>
  <c r="J103"/>
  <c r="J106" s="1"/>
  <c r="I100"/>
  <c r="H100"/>
  <c r="G100"/>
  <c r="J100" s="1"/>
  <c r="H99"/>
  <c r="G99"/>
  <c r="J99" s="1"/>
  <c r="J98"/>
  <c r="I98"/>
  <c r="G98"/>
  <c r="F95"/>
  <c r="F92"/>
  <c r="F91"/>
  <c r="F96" s="1"/>
  <c r="H89"/>
  <c r="G89"/>
  <c r="J79"/>
  <c r="K72"/>
  <c r="K71"/>
  <c r="H70"/>
  <c r="K70" s="1"/>
  <c r="K73" s="1"/>
  <c r="K67"/>
  <c r="I66"/>
  <c r="H66"/>
  <c r="K66" s="1"/>
  <c r="F32" s="1"/>
  <c r="J64"/>
  <c r="I64"/>
  <c r="K64" s="1"/>
  <c r="H64"/>
  <c r="R63"/>
  <c r="R64" s="1"/>
  <c r="I63"/>
  <c r="R69" s="1"/>
  <c r="H63"/>
  <c r="J62"/>
  <c r="I62"/>
  <c r="H62"/>
  <c r="R66" s="1"/>
  <c r="J60"/>
  <c r="R62" s="1"/>
  <c r="I60"/>
  <c r="G60"/>
  <c r="K60" s="1"/>
  <c r="I59"/>
  <c r="K59" s="1"/>
  <c r="I58"/>
  <c r="R68" s="1"/>
  <c r="H58"/>
  <c r="K57"/>
  <c r="I57"/>
  <c r="R67" s="1"/>
  <c r="K55"/>
  <c r="K54"/>
  <c r="K53"/>
  <c r="K52"/>
  <c r="L55" s="1"/>
  <c r="K50"/>
  <c r="K49"/>
  <c r="K48"/>
  <c r="J47"/>
  <c r="I47"/>
  <c r="K47" s="1"/>
  <c r="G47"/>
  <c r="K45"/>
  <c r="K44"/>
  <c r="K43"/>
  <c r="J42"/>
  <c r="G42"/>
  <c r="K42" s="1"/>
  <c r="K46" s="1"/>
  <c r="K41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J15"/>
  <c r="K15" s="1"/>
  <c r="G15"/>
  <c r="H15" s="1"/>
  <c r="D15"/>
  <c r="O14"/>
  <c r="K14"/>
  <c r="H14"/>
  <c r="D14"/>
  <c r="O13"/>
  <c r="K13"/>
  <c r="H13"/>
  <c r="D13"/>
  <c r="O12"/>
  <c r="K12"/>
  <c r="H12"/>
  <c r="D12"/>
  <c r="O11"/>
  <c r="K11"/>
  <c r="H11"/>
  <c r="H9" s="1"/>
  <c r="D11"/>
  <c r="K10"/>
  <c r="H10"/>
  <c r="D10"/>
  <c r="C10"/>
  <c r="B10"/>
  <c r="B22" s="1"/>
  <c r="M9"/>
  <c r="I9"/>
  <c r="G9"/>
  <c r="F9"/>
  <c r="D9"/>
  <c r="C9" s="1"/>
  <c r="C22" s="1"/>
  <c r="K8"/>
  <c r="K77" s="1"/>
  <c r="H8"/>
  <c r="K7"/>
  <c r="H7"/>
  <c r="D7"/>
  <c r="M6"/>
  <c r="K6"/>
  <c r="K76" s="1"/>
  <c r="J6"/>
  <c r="H6"/>
  <c r="G6"/>
  <c r="D6"/>
  <c r="J5"/>
  <c r="K5" s="1"/>
  <c r="G5"/>
  <c r="H5" s="1"/>
  <c r="H4" s="1"/>
  <c r="H19" s="1"/>
  <c r="D5"/>
  <c r="I4"/>
  <c r="I19" s="1"/>
  <c r="G4"/>
  <c r="G19" s="1"/>
  <c r="F4"/>
  <c r="F19" s="1"/>
  <c r="D4"/>
  <c r="D22" s="1"/>
  <c r="G40" i="10"/>
  <c r="G39"/>
  <c r="G38"/>
  <c r="G37"/>
  <c r="H40" s="1"/>
  <c r="N35"/>
  <c r="G35"/>
  <c r="G45" s="1"/>
  <c r="G46" s="1"/>
  <c r="G32"/>
  <c r="H35" s="1"/>
  <c r="I40" s="1"/>
  <c r="J12" s="1"/>
  <c r="G29"/>
  <c r="G28"/>
  <c r="H29" s="1"/>
  <c r="H27"/>
  <c r="G25"/>
  <c r="G22"/>
  <c r="N12"/>
  <c r="S7"/>
  <c r="P7"/>
  <c r="N6"/>
  <c r="N5"/>
  <c r="N4"/>
  <c r="J3"/>
  <c r="J18" s="1"/>
  <c r="I105" i="9"/>
  <c r="H105"/>
  <c r="G105"/>
  <c r="J105" s="1"/>
  <c r="J104"/>
  <c r="J103"/>
  <c r="J106" s="1"/>
  <c r="I100"/>
  <c r="H100"/>
  <c r="G100"/>
  <c r="J100" s="1"/>
  <c r="J99"/>
  <c r="H99"/>
  <c r="G99"/>
  <c r="I98"/>
  <c r="J98" s="1"/>
  <c r="J102" s="1"/>
  <c r="G98"/>
  <c r="F95"/>
  <c r="F92"/>
  <c r="F91"/>
  <c r="F96" s="1"/>
  <c r="H89"/>
  <c r="G89"/>
  <c r="J79"/>
  <c r="K72"/>
  <c r="K71"/>
  <c r="H70"/>
  <c r="K70" s="1"/>
  <c r="K73" s="1"/>
  <c r="K67"/>
  <c r="K66"/>
  <c r="I66"/>
  <c r="H66"/>
  <c r="I64"/>
  <c r="H64"/>
  <c r="K64" s="1"/>
  <c r="R63"/>
  <c r="R64" s="1"/>
  <c r="I63"/>
  <c r="H63"/>
  <c r="K63" s="1"/>
  <c r="J62"/>
  <c r="I62"/>
  <c r="H62"/>
  <c r="K62" s="1"/>
  <c r="K65" s="1"/>
  <c r="F38" s="1"/>
  <c r="J60"/>
  <c r="R62" s="1"/>
  <c r="I60"/>
  <c r="I59"/>
  <c r="S64" s="1"/>
  <c r="R66"/>
  <c r="K57"/>
  <c r="I57"/>
  <c r="K55"/>
  <c r="K54"/>
  <c r="K53"/>
  <c r="K52"/>
  <c r="L55" s="1"/>
  <c r="R51"/>
  <c r="K50"/>
  <c r="K49"/>
  <c r="K48"/>
  <c r="J47"/>
  <c r="I47"/>
  <c r="G47"/>
  <c r="K47" s="1"/>
  <c r="K45"/>
  <c r="K44"/>
  <c r="K43"/>
  <c r="K42"/>
  <c r="J42"/>
  <c r="G42"/>
  <c r="K41"/>
  <c r="K46" s="1"/>
  <c r="L33"/>
  <c r="F32"/>
  <c r="N30"/>
  <c r="L30"/>
  <c r="M26"/>
  <c r="H26"/>
  <c r="G26"/>
  <c r="M22"/>
  <c r="M21"/>
  <c r="L21"/>
  <c r="N20"/>
  <c r="M20"/>
  <c r="O17"/>
  <c r="K17"/>
  <c r="H17"/>
  <c r="D17"/>
  <c r="O16"/>
  <c r="D16"/>
  <c r="O15"/>
  <c r="J15"/>
  <c r="K15" s="1"/>
  <c r="H15"/>
  <c r="G15"/>
  <c r="D15"/>
  <c r="O14"/>
  <c r="K14"/>
  <c r="H14"/>
  <c r="D14"/>
  <c r="O13"/>
  <c r="K13"/>
  <c r="H13"/>
  <c r="D13"/>
  <c r="O12"/>
  <c r="K12"/>
  <c r="H12"/>
  <c r="D12"/>
  <c r="O11"/>
  <c r="K11"/>
  <c r="H11"/>
  <c r="D11"/>
  <c r="K10"/>
  <c r="H10"/>
  <c r="D10"/>
  <c r="C10"/>
  <c r="B10"/>
  <c r="B22" s="1"/>
  <c r="M9"/>
  <c r="J9"/>
  <c r="I9"/>
  <c r="H9"/>
  <c r="G9"/>
  <c r="F9"/>
  <c r="D9"/>
  <c r="C9"/>
  <c r="C22" s="1"/>
  <c r="K8"/>
  <c r="K77" s="1"/>
  <c r="H8"/>
  <c r="K7"/>
  <c r="H7"/>
  <c r="D7"/>
  <c r="M6"/>
  <c r="J6"/>
  <c r="K6" s="1"/>
  <c r="K76" s="1"/>
  <c r="H6"/>
  <c r="G6"/>
  <c r="D6"/>
  <c r="J5"/>
  <c r="K5" s="1"/>
  <c r="G5"/>
  <c r="H5" s="1"/>
  <c r="H4" s="1"/>
  <c r="H19" s="1"/>
  <c r="D5"/>
  <c r="I4"/>
  <c r="I19" s="1"/>
  <c r="G4"/>
  <c r="G19" s="1"/>
  <c r="F4"/>
  <c r="F19" s="1"/>
  <c r="D4"/>
  <c r="D22" s="1"/>
  <c r="H20" s="1"/>
  <c r="K81" s="1"/>
  <c r="G39" i="8"/>
  <c r="G38"/>
  <c r="H40" s="1"/>
  <c r="G37"/>
  <c r="N35"/>
  <c r="H35"/>
  <c r="I40" s="1"/>
  <c r="J12" s="1"/>
  <c r="G35"/>
  <c r="G45" s="1"/>
  <c r="G46" s="1"/>
  <c r="G34"/>
  <c r="G32"/>
  <c r="H29"/>
  <c r="G29"/>
  <c r="G28"/>
  <c r="H27"/>
  <c r="I29" s="1"/>
  <c r="G25"/>
  <c r="G22"/>
  <c r="N12"/>
  <c r="S7"/>
  <c r="P7"/>
  <c r="N6"/>
  <c r="N5"/>
  <c r="N4"/>
  <c r="J3"/>
  <c r="J18" s="1"/>
  <c r="I105" i="7"/>
  <c r="H105"/>
  <c r="J105" s="1"/>
  <c r="G105"/>
  <c r="J104"/>
  <c r="J103"/>
  <c r="J106" s="1"/>
  <c r="I100"/>
  <c r="H100"/>
  <c r="G100"/>
  <c r="J100" s="1"/>
  <c r="H99"/>
  <c r="G99"/>
  <c r="J99" s="1"/>
  <c r="J98"/>
  <c r="I98"/>
  <c r="G98"/>
  <c r="F95"/>
  <c r="F92"/>
  <c r="F91"/>
  <c r="F96" s="1"/>
  <c r="H89"/>
  <c r="G89"/>
  <c r="J79"/>
  <c r="K72"/>
  <c r="K71"/>
  <c r="H70"/>
  <c r="K70" s="1"/>
  <c r="K73" s="1"/>
  <c r="K67"/>
  <c r="I66"/>
  <c r="H66"/>
  <c r="K66" s="1"/>
  <c r="F32" s="1"/>
  <c r="I64"/>
  <c r="K64" s="1"/>
  <c r="H64"/>
  <c r="I63"/>
  <c r="K63" s="1"/>
  <c r="H63"/>
  <c r="R62"/>
  <c r="I62"/>
  <c r="K62" s="1"/>
  <c r="H62"/>
  <c r="J60"/>
  <c r="I60"/>
  <c r="R63" s="1"/>
  <c r="R64" s="1"/>
  <c r="G60"/>
  <c r="K59"/>
  <c r="I59"/>
  <c r="S64" s="1"/>
  <c r="I58"/>
  <c r="H58"/>
  <c r="K58" s="1"/>
  <c r="I57"/>
  <c r="K57" s="1"/>
  <c r="K55"/>
  <c r="K54"/>
  <c r="K53"/>
  <c r="M55" s="1"/>
  <c r="K52"/>
  <c r="L55" s="1"/>
  <c r="R51"/>
  <c r="K50"/>
  <c r="K49"/>
  <c r="K48"/>
  <c r="J47"/>
  <c r="I47"/>
  <c r="G47"/>
  <c r="K47" s="1"/>
  <c r="K45"/>
  <c r="K44"/>
  <c r="K43"/>
  <c r="J42"/>
  <c r="G42"/>
  <c r="K42" s="1"/>
  <c r="K41"/>
  <c r="K46" s="1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K9" s="1"/>
  <c r="J15"/>
  <c r="H15"/>
  <c r="G15"/>
  <c r="D15"/>
  <c r="O14"/>
  <c r="K14"/>
  <c r="H14"/>
  <c r="D14"/>
  <c r="O13"/>
  <c r="K13"/>
  <c r="H13"/>
  <c r="D13"/>
  <c r="O12"/>
  <c r="K12"/>
  <c r="H12"/>
  <c r="D12"/>
  <c r="O11"/>
  <c r="D10" s="1"/>
  <c r="K11"/>
  <c r="H11"/>
  <c r="D11"/>
  <c r="K10"/>
  <c r="H10"/>
  <c r="C10"/>
  <c r="B10"/>
  <c r="B22" s="1"/>
  <c r="M9"/>
  <c r="J9"/>
  <c r="I9"/>
  <c r="H9"/>
  <c r="G9"/>
  <c r="F9"/>
  <c r="D9"/>
  <c r="C9"/>
  <c r="C22" s="1"/>
  <c r="K8"/>
  <c r="K77" s="1"/>
  <c r="H8"/>
  <c r="K7"/>
  <c r="H7"/>
  <c r="D7"/>
  <c r="M6"/>
  <c r="J6"/>
  <c r="K6" s="1"/>
  <c r="K76" s="1"/>
  <c r="G6"/>
  <c r="H6" s="1"/>
  <c r="H4" s="1"/>
  <c r="H19" s="1"/>
  <c r="D6"/>
  <c r="K5"/>
  <c r="J5"/>
  <c r="H5"/>
  <c r="G5"/>
  <c r="G4" s="1"/>
  <c r="G19" s="1"/>
  <c r="D5"/>
  <c r="J4"/>
  <c r="J19" s="1"/>
  <c r="I4"/>
  <c r="I19" s="1"/>
  <c r="F4"/>
  <c r="F19" s="1"/>
  <c r="D4"/>
  <c r="D22" s="1"/>
  <c r="J79" i="6"/>
  <c r="K72"/>
  <c r="K71"/>
  <c r="H70"/>
  <c r="K70"/>
  <c r="K73"/>
  <c r="K67"/>
  <c r="I66"/>
  <c r="H66"/>
  <c r="K66"/>
  <c r="F32"/>
  <c r="I64"/>
  <c r="H64"/>
  <c r="K64"/>
  <c r="I63"/>
  <c r="H63"/>
  <c r="K63"/>
  <c r="K62"/>
  <c r="I62"/>
  <c r="H62"/>
  <c r="J60"/>
  <c r="I60"/>
  <c r="G60"/>
  <c r="K60"/>
  <c r="K59"/>
  <c r="I58"/>
  <c r="H58"/>
  <c r="K58"/>
  <c r="K57"/>
  <c r="I57"/>
  <c r="K55"/>
  <c r="K54"/>
  <c r="K53"/>
  <c r="K52"/>
  <c r="K56"/>
  <c r="F36"/>
  <c r="K50"/>
  <c r="K49"/>
  <c r="K48"/>
  <c r="K47"/>
  <c r="K51"/>
  <c r="F35"/>
  <c r="J47"/>
  <c r="I47"/>
  <c r="G47"/>
  <c r="K45"/>
  <c r="K44"/>
  <c r="K43"/>
  <c r="K42"/>
  <c r="K46"/>
  <c r="J42"/>
  <c r="G42"/>
  <c r="K41"/>
  <c r="H26"/>
  <c r="G26"/>
  <c r="K17"/>
  <c r="H17"/>
  <c r="D17"/>
  <c r="D16"/>
  <c r="J15"/>
  <c r="J9"/>
  <c r="H15"/>
  <c r="G15"/>
  <c r="D15"/>
  <c r="K14"/>
  <c r="H14"/>
  <c r="D14"/>
  <c r="K13"/>
  <c r="H13"/>
  <c r="D13"/>
  <c r="K12"/>
  <c r="H12"/>
  <c r="D12"/>
  <c r="K11"/>
  <c r="H11"/>
  <c r="D11"/>
  <c r="K10"/>
  <c r="H10"/>
  <c r="C10"/>
  <c r="B10"/>
  <c r="B22"/>
  <c r="F20"/>
  <c r="I9"/>
  <c r="H9"/>
  <c r="G9"/>
  <c r="F9"/>
  <c r="D9"/>
  <c r="C9"/>
  <c r="C22"/>
  <c r="K8"/>
  <c r="K77"/>
  <c r="H8"/>
  <c r="K7"/>
  <c r="H7"/>
  <c r="D7"/>
  <c r="J6"/>
  <c r="K6"/>
  <c r="K76"/>
  <c r="H6"/>
  <c r="G6"/>
  <c r="D6"/>
  <c r="J5"/>
  <c r="J4"/>
  <c r="J19"/>
  <c r="H5"/>
  <c r="H4"/>
  <c r="H19"/>
  <c r="G5"/>
  <c r="D5"/>
  <c r="I4"/>
  <c r="I19"/>
  <c r="G4"/>
  <c r="G19"/>
  <c r="F4"/>
  <c r="F19"/>
  <c r="D4"/>
  <c r="I105"/>
  <c r="H105"/>
  <c r="J105"/>
  <c r="G105"/>
  <c r="J104"/>
  <c r="J103"/>
  <c r="J106"/>
  <c r="I100"/>
  <c r="H100"/>
  <c r="G100"/>
  <c r="J100"/>
  <c r="H99"/>
  <c r="G99"/>
  <c r="J99"/>
  <c r="I98"/>
  <c r="G98"/>
  <c r="J98"/>
  <c r="F95"/>
  <c r="F92"/>
  <c r="F91"/>
  <c r="F96"/>
  <c r="H89"/>
  <c r="G89"/>
  <c r="L55"/>
  <c r="L33"/>
  <c r="N30"/>
  <c r="L30"/>
  <c r="M26"/>
  <c r="M22"/>
  <c r="M21"/>
  <c r="L21"/>
  <c r="N20"/>
  <c r="M20"/>
  <c r="O17"/>
  <c r="O16"/>
  <c r="O15"/>
  <c r="O14"/>
  <c r="O13"/>
  <c r="O12"/>
  <c r="O11"/>
  <c r="D10"/>
  <c r="M9"/>
  <c r="M6"/>
  <c r="F34"/>
  <c r="D22"/>
  <c r="H20"/>
  <c r="K81"/>
  <c r="H22"/>
  <c r="I26"/>
  <c r="F22"/>
  <c r="G20"/>
  <c r="G22"/>
  <c r="K61"/>
  <c r="F37"/>
  <c r="F39"/>
  <c r="J26"/>
  <c r="K65"/>
  <c r="F38"/>
  <c r="K5"/>
  <c r="K15"/>
  <c r="L50"/>
  <c r="M51"/>
  <c r="M19"/>
  <c r="J89"/>
  <c r="K89"/>
  <c r="J102"/>
  <c r="J109"/>
  <c r="K109"/>
  <c r="M55"/>
  <c r="K26"/>
  <c r="K68"/>
  <c r="K4"/>
  <c r="K75"/>
  <c r="K9"/>
  <c r="K78"/>
  <c r="M68"/>
  <c r="K80"/>
  <c r="K82"/>
  <c r="K19"/>
  <c r="K79"/>
  <c r="N21"/>
  <c r="G40" i="3"/>
  <c r="G39"/>
  <c r="H40"/>
  <c r="G38"/>
  <c r="N35"/>
  <c r="G35"/>
  <c r="G34"/>
  <c r="G32"/>
  <c r="H35"/>
  <c r="H29"/>
  <c r="G29"/>
  <c r="G28"/>
  <c r="G22"/>
  <c r="H27"/>
  <c r="I29"/>
  <c r="S16"/>
  <c r="N12"/>
  <c r="P7"/>
  <c r="N6"/>
  <c r="N5"/>
  <c r="N4"/>
  <c r="J3"/>
  <c r="J18"/>
  <c r="G6" i="1"/>
  <c r="G40" i="2"/>
  <c r="G39"/>
  <c r="G38"/>
  <c r="H40"/>
  <c r="N35"/>
  <c r="G34"/>
  <c r="G32"/>
  <c r="H35"/>
  <c r="I40" s="1"/>
  <c r="G29"/>
  <c r="G28"/>
  <c r="H29" s="1"/>
  <c r="G22"/>
  <c r="H27" s="1"/>
  <c r="S16"/>
  <c r="N12"/>
  <c r="P7"/>
  <c r="N6"/>
  <c r="N5"/>
  <c r="N4"/>
  <c r="J3"/>
  <c r="J18"/>
  <c r="I105" i="1"/>
  <c r="H105"/>
  <c r="G105"/>
  <c r="J105"/>
  <c r="J106"/>
  <c r="J104"/>
  <c r="J103"/>
  <c r="J100"/>
  <c r="I100"/>
  <c r="H100"/>
  <c r="G100"/>
  <c r="J99"/>
  <c r="H99"/>
  <c r="G99"/>
  <c r="I98"/>
  <c r="G98"/>
  <c r="J98"/>
  <c r="J102"/>
  <c r="J109"/>
  <c r="F95"/>
  <c r="F92"/>
  <c r="F91"/>
  <c r="F96"/>
  <c r="H89"/>
  <c r="G89"/>
  <c r="J79"/>
  <c r="K72"/>
  <c r="K71"/>
  <c r="K70"/>
  <c r="K73"/>
  <c r="H70"/>
  <c r="K67"/>
  <c r="I66"/>
  <c r="H66"/>
  <c r="K66"/>
  <c r="F32"/>
  <c r="I64"/>
  <c r="H64"/>
  <c r="K64"/>
  <c r="I63"/>
  <c r="H63"/>
  <c r="K63"/>
  <c r="K62"/>
  <c r="I62"/>
  <c r="H62"/>
  <c r="J60"/>
  <c r="I60"/>
  <c r="G60"/>
  <c r="K60"/>
  <c r="K59"/>
  <c r="I58"/>
  <c r="H58"/>
  <c r="K58"/>
  <c r="K61"/>
  <c r="F37"/>
  <c r="K57"/>
  <c r="I57"/>
  <c r="K55"/>
  <c r="K54"/>
  <c r="K53"/>
  <c r="M55"/>
  <c r="K52"/>
  <c r="L55"/>
  <c r="K50"/>
  <c r="K49"/>
  <c r="K48"/>
  <c r="K47"/>
  <c r="L50"/>
  <c r="J47"/>
  <c r="I47"/>
  <c r="G47"/>
  <c r="K45"/>
  <c r="K44"/>
  <c r="K43"/>
  <c r="K42"/>
  <c r="K46"/>
  <c r="J42"/>
  <c r="G42"/>
  <c r="K41"/>
  <c r="L33"/>
  <c r="N30"/>
  <c r="L30"/>
  <c r="M26"/>
  <c r="H26"/>
  <c r="G26"/>
  <c r="M22"/>
  <c r="M21"/>
  <c r="L21"/>
  <c r="N20"/>
  <c r="M20"/>
  <c r="O17"/>
  <c r="K17"/>
  <c r="H17"/>
  <c r="D17"/>
  <c r="O16"/>
  <c r="D16"/>
  <c r="O15"/>
  <c r="K15"/>
  <c r="K78"/>
  <c r="J15"/>
  <c r="G15"/>
  <c r="H15"/>
  <c r="D15"/>
  <c r="O14"/>
  <c r="K14"/>
  <c r="H14"/>
  <c r="D14"/>
  <c r="O13"/>
  <c r="K13"/>
  <c r="H13"/>
  <c r="D13"/>
  <c r="O12"/>
  <c r="K12"/>
  <c r="H12"/>
  <c r="D12"/>
  <c r="O11"/>
  <c r="K11"/>
  <c r="H11"/>
  <c r="H9"/>
  <c r="D11"/>
  <c r="K10"/>
  <c r="H10"/>
  <c r="D10"/>
  <c r="C10"/>
  <c r="C22"/>
  <c r="B10"/>
  <c r="B22"/>
  <c r="F20"/>
  <c r="M9"/>
  <c r="K9"/>
  <c r="J9"/>
  <c r="I9"/>
  <c r="G9"/>
  <c r="F9"/>
  <c r="D9"/>
  <c r="C9"/>
  <c r="K8"/>
  <c r="K77"/>
  <c r="H8"/>
  <c r="K7"/>
  <c r="H7"/>
  <c r="D7"/>
  <c r="D22"/>
  <c r="M6"/>
  <c r="J6"/>
  <c r="K6"/>
  <c r="K76"/>
  <c r="H6"/>
  <c r="H4"/>
  <c r="H19"/>
  <c r="D6"/>
  <c r="J5"/>
  <c r="J4"/>
  <c r="J19"/>
  <c r="H5"/>
  <c r="G5"/>
  <c r="D5"/>
  <c r="I4"/>
  <c r="I19"/>
  <c r="G4"/>
  <c r="G19"/>
  <c r="F4"/>
  <c r="F19"/>
  <c r="D4"/>
  <c r="F34"/>
  <c r="J89"/>
  <c r="K89"/>
  <c r="K109"/>
  <c r="F22"/>
  <c r="K65"/>
  <c r="F38"/>
  <c r="M51"/>
  <c r="K5"/>
  <c r="K51"/>
  <c r="K68"/>
  <c r="K56"/>
  <c r="F36"/>
  <c r="K4"/>
  <c r="K19"/>
  <c r="K75"/>
  <c r="K79"/>
  <c r="K80"/>
  <c r="M68"/>
  <c r="F35"/>
  <c r="F39"/>
  <c r="J26"/>
  <c r="J11" i="3"/>
  <c r="J14"/>
  <c r="I40"/>
  <c r="J12"/>
  <c r="J15"/>
  <c r="N14"/>
  <c r="H20" i="1"/>
  <c r="K81"/>
  <c r="K82"/>
  <c r="G20"/>
  <c r="M19"/>
  <c r="J10" i="3"/>
  <c r="J9"/>
  <c r="N13"/>
  <c r="J13"/>
  <c r="J40"/>
  <c r="J41"/>
  <c r="H22" i="1"/>
  <c r="G22"/>
  <c r="I26"/>
  <c r="K26"/>
  <c r="N21"/>
  <c r="I29" i="2" l="1"/>
  <c r="J11" s="1"/>
  <c r="J40"/>
  <c r="J41" s="1"/>
  <c r="J14"/>
  <c r="J15"/>
  <c r="J12"/>
  <c r="J41" i="12"/>
  <c r="S12"/>
  <c r="J15"/>
  <c r="N14" s="1"/>
  <c r="J40"/>
  <c r="J14"/>
  <c r="J11"/>
  <c r="J10" s="1"/>
  <c r="K4" i="11"/>
  <c r="K19" s="1"/>
  <c r="K75"/>
  <c r="K79" s="1"/>
  <c r="K9"/>
  <c r="K78"/>
  <c r="F34"/>
  <c r="G20"/>
  <c r="G22" s="1"/>
  <c r="L50"/>
  <c r="K51"/>
  <c r="M51"/>
  <c r="H20"/>
  <c r="K81" s="1"/>
  <c r="J102"/>
  <c r="J109" s="1"/>
  <c r="K109" s="1"/>
  <c r="J89"/>
  <c r="K89" s="1"/>
  <c r="F20"/>
  <c r="M19" s="1"/>
  <c r="R70"/>
  <c r="R71" s="1"/>
  <c r="R72" s="1"/>
  <c r="J4"/>
  <c r="J9"/>
  <c r="R51"/>
  <c r="K58"/>
  <c r="K61" s="1"/>
  <c r="F37" s="1"/>
  <c r="K62"/>
  <c r="K63"/>
  <c r="K56"/>
  <c r="F36" s="1"/>
  <c r="R60"/>
  <c r="S64"/>
  <c r="R74"/>
  <c r="M55"/>
  <c r="I29" i="10"/>
  <c r="J15"/>
  <c r="N14" s="1"/>
  <c r="L50" i="9"/>
  <c r="K51"/>
  <c r="M51"/>
  <c r="K4"/>
  <c r="K19" s="1"/>
  <c r="K75"/>
  <c r="H22"/>
  <c r="I26" s="1"/>
  <c r="K9"/>
  <c r="K78"/>
  <c r="F34"/>
  <c r="J89"/>
  <c r="K89" s="1"/>
  <c r="F22"/>
  <c r="G20"/>
  <c r="G22" s="1"/>
  <c r="F20"/>
  <c r="J109"/>
  <c r="K109" s="1"/>
  <c r="J4"/>
  <c r="J19" s="1"/>
  <c r="K58"/>
  <c r="K61" s="1"/>
  <c r="F37" s="1"/>
  <c r="K56"/>
  <c r="F36" s="1"/>
  <c r="M55"/>
  <c r="K59"/>
  <c r="K60"/>
  <c r="R60" s="1"/>
  <c r="J15" i="8"/>
  <c r="N14" s="1"/>
  <c r="J41"/>
  <c r="J40"/>
  <c r="J11"/>
  <c r="J10" s="1"/>
  <c r="J14"/>
  <c r="F34" i="7"/>
  <c r="H20"/>
  <c r="K81" s="1"/>
  <c r="K4"/>
  <c r="K19" s="1"/>
  <c r="L50"/>
  <c r="K51"/>
  <c r="M51"/>
  <c r="K65"/>
  <c r="F38" s="1"/>
  <c r="J102"/>
  <c r="J109" s="1"/>
  <c r="H22"/>
  <c r="I26" s="1"/>
  <c r="J89"/>
  <c r="K89" s="1"/>
  <c r="K109"/>
  <c r="G20"/>
  <c r="G22" s="1"/>
  <c r="F20"/>
  <c r="K56"/>
  <c r="F36" s="1"/>
  <c r="K75"/>
  <c r="K79" s="1"/>
  <c r="K60"/>
  <c r="R60" s="1"/>
  <c r="R66"/>
  <c r="K78"/>
  <c r="J13" i="2" l="1"/>
  <c r="N13"/>
  <c r="J10"/>
  <c r="J9" s="1"/>
  <c r="N14"/>
  <c r="J9" i="12"/>
  <c r="J13"/>
  <c r="N13"/>
  <c r="F22" i="11"/>
  <c r="F35"/>
  <c r="M68"/>
  <c r="K65"/>
  <c r="F38" s="1"/>
  <c r="J19"/>
  <c r="H22"/>
  <c r="J40" i="10"/>
  <c r="J41" s="1"/>
  <c r="J11"/>
  <c r="J10" s="1"/>
  <c r="J14"/>
  <c r="S12"/>
  <c r="F39" i="9"/>
  <c r="J26" s="1"/>
  <c r="K26" s="1"/>
  <c r="F35"/>
  <c r="M68"/>
  <c r="K68"/>
  <c r="N21"/>
  <c r="M19"/>
  <c r="K79"/>
  <c r="S12" i="8"/>
  <c r="J13"/>
  <c r="J9" s="1"/>
  <c r="N13"/>
  <c r="M68" i="7"/>
  <c r="F35"/>
  <c r="M19"/>
  <c r="N21"/>
  <c r="F22"/>
  <c r="K61"/>
  <c r="F37" s="1"/>
  <c r="K68" i="11" l="1"/>
  <c r="K80" s="1"/>
  <c r="K82" s="1"/>
  <c r="I26"/>
  <c r="N21"/>
  <c r="F39"/>
  <c r="J26" s="1"/>
  <c r="J9" i="10"/>
  <c r="J13"/>
  <c r="N13"/>
  <c r="K80" i="9"/>
  <c r="K82" s="1"/>
  <c r="K68" i="7"/>
  <c r="K80" s="1"/>
  <c r="K82" s="1"/>
  <c r="F39"/>
  <c r="J26" s="1"/>
  <c r="K26" s="1"/>
  <c r="K26" i="11" l="1"/>
</calcChain>
</file>

<file path=xl/sharedStrings.xml><?xml version="1.0" encoding="utf-8"?>
<sst xmlns="http://schemas.openxmlformats.org/spreadsheetml/2006/main" count="4216" uniqueCount="370">
  <si>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31 มีนาคม 2557</t>
    </r>
  </si>
  <si>
    <t>(หน่วยล้านบาท)</t>
  </si>
  <si>
    <t xml:space="preserve">1. รายรับ (ตาม พ.ร.บ. การปฏิรูปที่ดินฯ มาตรา 10) </t>
  </si>
  <si>
    <t>2. รายจ่าย</t>
  </si>
  <si>
    <t>3. การโอนเงิน/อนุมัติส่วนกลาง ปีงบประมาณ 2557</t>
  </si>
  <si>
    <t>รายการ</t>
  </si>
  <si>
    <t>สะสมถึง 30 ก.ย. 56</t>
  </si>
  <si>
    <t>ปี 2557</t>
  </si>
  <si>
    <t xml:space="preserve">     สะสมถึง   31 มี.ค. 57</t>
  </si>
  <si>
    <t xml:space="preserve"> สะสมถึง  30 ก.ย. 56</t>
  </si>
  <si>
    <t xml:space="preserve">   สะสมถึง   31 มี.ค. 57</t>
  </si>
  <si>
    <t>แผน</t>
  </si>
  <si>
    <t xml:space="preserve">โอนไปจว./อนุมัติส่วนกลาง </t>
  </si>
  <si>
    <t>คงเหลือตามแผน</t>
  </si>
  <si>
    <t>1.1 งบประมาณแผ่นดิน</t>
  </si>
  <si>
    <t>2.1 รายจ่ายหมุนเวียน</t>
  </si>
  <si>
    <t>1.2 เงินโครงการเพิ่มประสิทธิภาพฯ</t>
  </si>
  <si>
    <t xml:space="preserve">       - สินเชื่อ</t>
  </si>
  <si>
    <t>1.3 เงินกองทุนสงเคราะห์เกษตรกร</t>
  </si>
  <si>
    <t xml:space="preserve">       - ค่าซื้อที่ดิน (ง/ส + พันธบัตร)</t>
  </si>
  <si>
    <t>1.4 เงินโครงการฯ เขื่อนสิรินธร</t>
  </si>
  <si>
    <t xml:space="preserve">       - ค่ารังวัดฯ ออกโฉนดและอื่นๆ </t>
  </si>
  <si>
    <t xml:space="preserve">       - อื่นๆ(ค่าที่ดิน)</t>
  </si>
  <si>
    <t>1.5 เงินโครงการกองทุนที่ดิน</t>
  </si>
  <si>
    <t>2.2 รายจ่ายขาด</t>
  </si>
  <si>
    <t>1.6 รับคืนเงินทุนและรายได้ตาม ม.10 (4)</t>
  </si>
  <si>
    <t xml:space="preserve">       - คืนกองทุนสงเคราะห์เกษตรกร</t>
  </si>
  <si>
    <t xml:space="preserve">          - ค่าเช่า</t>
  </si>
  <si>
    <t xml:space="preserve">       - ดอกเบี้ยพันธบัตร</t>
  </si>
  <si>
    <t xml:space="preserve">          - เงินต้นค่าเช่าซื้อ</t>
  </si>
  <si>
    <t xml:space="preserve">       - ค่าภาษีบำรุงท้องที่</t>
  </si>
  <si>
    <t xml:space="preserve">          - ดอกเบี้ยค่าเช่าซื้อ</t>
  </si>
  <si>
    <t xml:space="preserve">       - ค่าชดเชยสูญเสียโอกาสทำกินในที่ดิน</t>
  </si>
  <si>
    <t xml:space="preserve">          - ต้นเงินกู้</t>
  </si>
  <si>
    <t xml:space="preserve">       - คชจ. ช่วยเหลือเนื่องจากยกเลิก คจก.</t>
  </si>
  <si>
    <t xml:space="preserve">          - ค่าภาษีบำรุงท้องที่</t>
  </si>
  <si>
    <t xml:space="preserve">       - คชจ. ตามท้ายประมวล กม.อื่นๆ - โอน</t>
  </si>
  <si>
    <t xml:space="preserve">          - ดอกเบี้ยเงินกู้</t>
  </si>
  <si>
    <t xml:space="preserve">                                        -อนุมัติ/จ่าย /กัน ส่วนกลาง</t>
  </si>
  <si>
    <t xml:space="preserve">          - ค่าปรับและรายรับอื่น</t>
  </si>
  <si>
    <t xml:space="preserve">       - คชจ. โครงการฯ เขื่อนสิรินธร</t>
  </si>
  <si>
    <t>รวมรายจ่ายทั้งหมด</t>
  </si>
  <si>
    <t xml:space="preserve"> คงเหลือปราศจากข้อผูกพัน  = (491.43) ล้านบาท       </t>
  </si>
  <si>
    <r>
      <t xml:space="preserve">                                          =</t>
    </r>
    <r>
      <rPr>
        <b/>
        <sz val="14"/>
        <color indexed="12"/>
        <rFont val="Angsana New"/>
        <family val="1"/>
      </rPr>
      <t>2,454.26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</si>
  <si>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2,945.69 ล้านบาท       </t>
  </si>
  <si>
    <t>รวมรายรับทั้งหมด</t>
  </si>
  <si>
    <t xml:space="preserve">        รวมทั้งหมด</t>
  </si>
  <si>
    <t>สบท. / กบท. /3 ต.ค. 2555</t>
  </si>
  <si>
    <t>ปราศจาก2553 =1,715.46 บาท</t>
  </si>
  <si>
    <t>หมายเหตุ</t>
  </si>
  <si>
    <t>ประกันสัญญา</t>
  </si>
  <si>
    <t>อื่น- พันธบัตร</t>
  </si>
  <si>
    <t xml:space="preserve">ผูกพันปี 2553 </t>
  </si>
  <si>
    <t xml:space="preserve">ผูกพันปี 2554 </t>
  </si>
  <si>
    <t>ผูกพันปี 2555</t>
  </si>
  <si>
    <t>ผูกพันปี 2556</t>
  </si>
  <si>
    <t>ผูกพันปี 2557</t>
  </si>
  <si>
    <t xml:space="preserve">รวมผูกพัน </t>
  </si>
  <si>
    <t>ยกมา</t>
  </si>
  <si>
    <t>โอน / อนุมัติ</t>
  </si>
  <si>
    <t>เบิก</t>
  </si>
  <si>
    <t>โอนกลับ</t>
  </si>
  <si>
    <t>คงเหลือ</t>
  </si>
  <si>
    <t>สินเชื่อ</t>
  </si>
  <si>
    <t>ค่าที่ดิน</t>
  </si>
  <si>
    <t>ปรับปรุงโอนไปปี54</t>
  </si>
  <si>
    <t>อื่นๆ</t>
  </si>
  <si>
    <t>คอมพิวเตอร์ 2.24</t>
  </si>
  <si>
    <t>ค่ารังวัดสระบุรี</t>
  </si>
  <si>
    <t xml:space="preserve">ผูกพันปี 2555 </t>
  </si>
  <si>
    <t xml:space="preserve">ผูกพันปี 2556 </t>
  </si>
  <si>
    <t>โครงการฯ</t>
  </si>
  <si>
    <t xml:space="preserve">ผูกพันปี 2557 </t>
  </si>
  <si>
    <t xml:space="preserve">รวมยอดผูกพัน  </t>
  </si>
  <si>
    <t xml:space="preserve">บวกยอดผูกพันตามแผนรายจ่ายปี 2556(ยังไม่ได้โอนเงินไปจังหวัด)  </t>
  </si>
  <si>
    <t>ค่าจัดซื้อที่ดิน</t>
  </si>
  <si>
    <t>ค่าใช้จ่ายตามท้ายประมวลฯ</t>
  </si>
  <si>
    <t>บวกยอดผูกพันตามแผนรายจ่ายปี 2557</t>
  </si>
  <si>
    <t>รายจ่ายขาด</t>
  </si>
  <si>
    <t xml:space="preserve">รวมยอดผูกพันตามแผน  </t>
  </si>
  <si>
    <t xml:space="preserve">รวมยอดผูกพันทั้งสิ้น  </t>
  </si>
  <si>
    <t>เงินฝากคลังคงเหลือ ณ 31 มี.ค. 2557</t>
  </si>
  <si>
    <t xml:space="preserve">ยอดปราศจากผูกพัน  </t>
  </si>
  <si>
    <t>ปราศจาก2552 =632.68 บาท</t>
  </si>
  <si>
    <t xml:space="preserve">ผูกพันปี 2552 </t>
  </si>
  <si>
    <t>โอน</t>
  </si>
  <si>
    <t>เงินประกันสัญญา</t>
  </si>
  <si>
    <t xml:space="preserve">ผูกพันทั้งสิ้น  </t>
  </si>
  <si>
    <t xml:space="preserve">  รายงานเงินกองทุนการปฏิรูปที่ดินเพื่อเกษตรกรรม ณ วันที่ 31 มีนาคม  2557</t>
  </si>
  <si>
    <t xml:space="preserve"> - เงินกองทุนคงเหลือ ณ วันที่ 31 มีนาคม 2557 เป็นเงินทั้งสิ้น</t>
  </si>
  <si>
    <t>ล้านบาท</t>
  </si>
  <si>
    <t xml:space="preserve"> - เงินสดและเงินฝากธนาคาร</t>
  </si>
  <si>
    <t xml:space="preserve"> - เงินกองทุนฝากกระทรวงการคลัง</t>
  </si>
  <si>
    <t xml:space="preserve"> - เงินกองทุนฝากคลังจังหวัด</t>
  </si>
  <si>
    <t xml:space="preserve"> - เงินฝากคลังจังหวัด</t>
  </si>
  <si>
    <t>1.39-.03</t>
  </si>
  <si>
    <t xml:space="preserve"> - เงินกองทุนคงเหลือ </t>
  </si>
  <si>
    <t xml:space="preserve"> - ยอดผูกพันทั้งสิ้น</t>
  </si>
  <si>
    <t xml:space="preserve"> - ส่วนกลาง </t>
  </si>
  <si>
    <t xml:space="preserve"> - จังหวัด</t>
  </si>
  <si>
    <t xml:space="preserve"> - ยอดปราศจากผูกพันทั้งสิ้น</t>
  </si>
  <si>
    <t xml:space="preserve"> เงินกองทุนคงเหลือยกไป 31 มีนาคม 2557</t>
  </si>
  <si>
    <t>หัก</t>
  </si>
  <si>
    <t>ยอดผูกพัน</t>
  </si>
  <si>
    <t>ส่วนกลาง</t>
  </si>
  <si>
    <t xml:space="preserve"> - แผนปี 2556</t>
  </si>
  <si>
    <t xml:space="preserve"> - ค่าที่ดิน</t>
  </si>
  <si>
    <t xml:space="preserve"> - ค่าสินเชื่อ</t>
  </si>
  <si>
    <t xml:space="preserve"> - ค่าใช้จ่ายตามท้ายประมวลฯ</t>
  </si>
  <si>
    <t xml:space="preserve"> - โครงการประเมินทรัพย์สิน</t>
  </si>
  <si>
    <t xml:space="preserve"> - เงินประกันสัญญา</t>
  </si>
  <si>
    <t xml:space="preserve"> - พันธบัตร</t>
  </si>
  <si>
    <t xml:space="preserve"> - แผนปี 2557</t>
  </si>
  <si>
    <t xml:space="preserve"> - รายจ่ายค่าจ้างค่าบริหาร</t>
  </si>
  <si>
    <t>จังหวัด</t>
  </si>
  <si>
    <t xml:space="preserve"> - สินเชื่อ</t>
  </si>
  <si>
    <t xml:space="preserve"> - รายจ่ายอื่น</t>
  </si>
  <si>
    <t>ยอดปราศจากผูกพันยกไป 31 มีนาคม 2557</t>
  </si>
  <si>
    <t xml:space="preserve">คงเหลือ ณ 31 มี.ค. 2557 = 16,543.93 - 14,089.67 ล้านบาท </t>
  </si>
  <si>
    <t xml:space="preserve">  รายงานเงินกองทุนการปฏิรูปที่ดินเพื่อเกษตรกรรม ณ วันที่ 30 เมษายน 2557</t>
  </si>
  <si>
    <t xml:space="preserve"> - เงินกองทุนคงเหลือ ณ วันที่ 30 เมษายน 2557 เป็นเงินทั้งสิ้น</t>
  </si>
  <si>
    <t xml:space="preserve"> เงินกองทุนคงเหลือยกไป 30 เมษายน 2557</t>
  </si>
  <si>
    <t>ยอดปราศจากผูกพันยกไป 30 เมษายน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</si>
  <si>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30 เมษายน 2557</t>
    </r>
  </si>
  <si>
    <t xml:space="preserve">     สะสมถึง   30 เม.ย. 57</t>
  </si>
  <si>
    <t xml:space="preserve">   สะสมถึง   30 เม.ย. 57</t>
  </si>
  <si>
    <t xml:space="preserve">คงเหลือ ณ 30 เม.ย. 2557 = 16,656.66 - 14,196.90 ล้านบาท </t>
  </si>
  <si>
    <t xml:space="preserve"> คงเหลือปราศจากข้อผูกพัน  = (378.75) ล้านบาท       </t>
  </si>
  <si>
    <r>
      <t xml:space="preserve">                                          =</t>
    </r>
    <r>
      <rPr>
        <b/>
        <sz val="14"/>
        <color indexed="12"/>
        <rFont val="Angsana New"/>
        <family val="1"/>
      </rPr>
      <t>2,459.76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</si>
  <si>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2,838.51 ล้านบาท       </t>
  </si>
  <si>
    <t>เงินฝากคลังคงเหลือ ณ 30 เม.ย.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</si>
  <si>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31 พฤษภาคม 2557</t>
    </r>
  </si>
  <si>
    <t xml:space="preserve">     สะสมถึง   31 พ.ค. 57</t>
  </si>
  <si>
    <t xml:space="preserve">   สะสมถึง   31 พ.ค. 57</t>
  </si>
  <si>
    <t xml:space="preserve">คงเหลือ ณ 31 พ.ค. 2557 = 16,772.10 - 14,307.29 ล้านบาท </t>
  </si>
  <si>
    <t xml:space="preserve"> คงเหลือปราศจากข้อผูกพัน  = (263.25) ล้านบาท       </t>
  </si>
  <si>
    <r>
      <t xml:space="preserve">                                          =</t>
    </r>
    <r>
      <rPr>
        <b/>
        <sz val="14"/>
        <color rgb="FF0000FF"/>
        <rFont val="Angsana New"/>
        <family val="1"/>
      </rPr>
      <t>2,464.81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</si>
  <si>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2,728.06 ล้านบาท       </t>
  </si>
  <si>
    <t>เงินฝากคลังคงเหลือ ณ 31 พ.ค. 2557</t>
  </si>
  <si>
    <t xml:space="preserve">  รายงานเงินกองทุนการปฏิรูปที่ดินเพื่อเกษตรกรรม ณ วันที่ 31 พฤษภาคม 2557</t>
  </si>
  <si>
    <t xml:space="preserve"> - เงินกองทุนคงเหลือ ณ วันที่ 31 พฤษภาคม 2557 เป็นเงินทั้งสิ้น</t>
  </si>
  <si>
    <t xml:space="preserve"> เงินกองทุนคงเหลือยกไป 31 พฤษภาคม 2557</t>
  </si>
  <si>
    <t>ยอดปราศจากผูกพันยกไป 31 พฤษภาคม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</si>
  <si>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30 มิถุนายน 2557</t>
    </r>
  </si>
  <si>
    <t xml:space="preserve">     สะสมถึง   30 มิ.ย. 57</t>
  </si>
  <si>
    <t xml:space="preserve">   สะสมถึง   30 มิ.ย. 57</t>
  </si>
  <si>
    <t xml:space="preserve">คงเหลือ ณ 30 มิ.ย. 2557 = 16,879.06 - 14,468.49 ล้านบาท </t>
  </si>
  <si>
    <t xml:space="preserve"> คงเหลือปราศจากข้อผูกพัน  = (146.36) ล้านบาท       </t>
  </si>
  <si>
    <r>
      <t xml:space="preserve">                                          =</t>
    </r>
    <r>
      <rPr>
        <b/>
        <sz val="14"/>
        <color rgb="FF0000FF"/>
        <rFont val="Angsana New"/>
        <family val="1"/>
      </rPr>
      <t>2,410.57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</si>
  <si>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2,556.93 ล้านบาท       </t>
  </si>
  <si>
    <t>เงินฝากคลังคงเหลือ ณ 30 มิ.ย. 2557</t>
  </si>
  <si>
    <t xml:space="preserve">  รายงานเงินกองทุนการปฏิรูปที่ดินเพื่อเกษตรกรรม ณ วันที่ 30 มิถุนายน 2557</t>
  </si>
  <si>
    <t xml:space="preserve"> - เงินกองทุนคงเหลือ ณ วันที่ 30 มิถุนายน 2557 เป็นเงินทั้งสิ้น</t>
  </si>
  <si>
    <t xml:space="preserve"> เงินกองทุนคงเหลือยกไป 30 มิถุนายน 2557</t>
  </si>
  <si>
    <t>ยอดปราศจากผูกพันยกไป 30 มิถุนายน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</si>
  <si>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31 กรกฎาคม 2557</t>
    </r>
  </si>
  <si>
    <t xml:space="preserve">     สะสมถึง   31 ก.ค. 57</t>
  </si>
  <si>
    <t xml:space="preserve">   สะสมถึง   31 ก.ค. 57</t>
  </si>
  <si>
    <t xml:space="preserve">คงเหลือ ณ 31 ก.ค. 2557 = 16,963.44 - 14,556.30 ล้านบาท </t>
  </si>
  <si>
    <t xml:space="preserve"> คงเหลือปราศจากข้อผูกพัน  = (61.75) ล้านบาท       </t>
  </si>
  <si>
    <r>
      <t xml:space="preserve">                                          =</t>
    </r>
    <r>
      <rPr>
        <b/>
        <sz val="14"/>
        <color rgb="FF0000FF"/>
        <rFont val="Angsana New"/>
        <family val="1"/>
      </rPr>
      <t>2,407.14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</si>
  <si>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2,468.89 ล้านบาท       </t>
  </si>
  <si>
    <t>เงินฝากคลังคงเหลือ ณ 31 ก.ค. 2557</t>
  </si>
  <si>
    <t xml:space="preserve">  รายงานเงินกองทุนการปฏิรูปที่ดินเพื่อเกษตรกรรม ณ วันที่ 31 กรกฎาคม 2557</t>
  </si>
  <si>
    <t xml:space="preserve"> - เงินกองทุนคงเหลือ ณ วันที่ 31 กรกฎาคม 2557 เป็นเงินทั้งสิ้น</t>
  </si>
  <si>
    <t xml:space="preserve"> เงินกองทุนคงเหลือยกไป 31 กรกฎาคม 2557</t>
  </si>
  <si>
    <t>ยอดปราศจากผูกพันยกไป 31 กรกฎาคม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</si>
  <si>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31 สิงหาคม 2557</t>
    </r>
  </si>
  <si>
    <t xml:space="preserve">     สะสมถึง   31 ส.ค. 57</t>
  </si>
  <si>
    <t xml:space="preserve">   สะสมถึง   31 ส.ค. 57</t>
  </si>
  <si>
    <t xml:space="preserve">คงเหลือ ณ 31 ส.ค. 2557 = 17,022.11 - 14,610.28 ล้านบาท </t>
  </si>
  <si>
    <t xml:space="preserve"> คงเหลือปราศจากข้อผูกพัน  =  0.46 ล้านบาท       </t>
  </si>
  <si>
    <r>
      <t xml:space="preserve">                                          =</t>
    </r>
    <r>
      <rPr>
        <b/>
        <sz val="14"/>
        <color rgb="FF0000FF"/>
        <rFont val="Angsana New"/>
        <family val="1"/>
      </rPr>
      <t>2,411.83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</si>
  <si>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2,411.37 ล้านบาท       </t>
  </si>
  <si>
    <t>เงินฝากคลังคงเหลือ ณ 31 ส.ค. 2557</t>
  </si>
  <si>
    <t xml:space="preserve">  รายงานเงินกองทุนการปฏิรูปที่ดินเพื่อเกษตรกรรม ณ วันที่ 31 สิงหาคม 2557</t>
  </si>
  <si>
    <t xml:space="preserve"> - เงินกองทุนคงเหลือ ณ วันที่ 31 สิงหาคม 2557 เป็นเงินทั้งสิ้น</t>
  </si>
  <si>
    <t xml:space="preserve"> เงินกองทุนคงเหลือยกไป 31 สิงหาคม 2557</t>
  </si>
  <si>
    <t>ยอดปราศจากผูกพันยกไป 31 สิงหาคม 2557</t>
  </si>
  <si>
    <t xml:space="preserve">  รายงานเงินกองทุนการปฏิรูปที่ดินเพื่อเกษตรกรรม ณ วันที่ 30 กันยายน 2557</t>
  </si>
  <si>
    <t xml:space="preserve"> - เงินกองทุนคงเหลือ ณ วันที่ 30 กันยายน 2557 เป็นเงินทั้งสิ้น</t>
  </si>
  <si>
    <t xml:space="preserve"> เงินกองทุนคงเหลือยกไป 30 กันยายน 2557</t>
  </si>
  <si>
    <t>ยอดปราศจากผูกพันยกไป 30 กันยายน 2557</t>
  </si>
  <si>
    <t xml:space="preserve">   สะสมถึง   30 ก.ย. 57</t>
  </si>
  <si>
    <t xml:space="preserve">     สะสมถึง   30 ก.ย. 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</si>
  <si>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2519- 2557  สิ้นสุด วันที่ 30 กันยายน 2557</t>
    </r>
  </si>
  <si>
    <t>เงินฝากคลังคงเหลือ ณ 30 ก.ย. 2557</t>
  </si>
  <si>
    <t xml:space="preserve">คงเหลือ ณ 30 ก.ย. 2557 = 17,096.43 - 14,670.43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</si>
  <si>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2,426.00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</si>
  <si>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- รายจ่ายค่าจ้าง/ค่าบริหาร</t>
  </si>
  <si>
    <t xml:space="preserve"> คงเหลือปราศจากข้อผูกพัน  =  81.12 ล้านบาท       </t>
  </si>
  <si>
    <t xml:space="preserve">รายการผูกพัน  =  2,344.88 ล้านบาท       </t>
  </si>
  <si>
    <t xml:space="preserve"> - โครงการเพิ่มประสิทธิภาพฯ</t>
  </si>
  <si>
    <t xml:space="preserve">คงเหลือ ณ 30 ก.ย. 2557 = 17,096.43 - 14,670.42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</si>
  <si>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2,426.01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</si>
  <si>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81.13 ล้านบาท       </t>
  </si>
  <si>
    <t xml:space="preserve">บวกยอดผูกพันตามแผนรายจ่ายปี 2556 (ยังไม่ได้โอนเงินไปจังหวัด)  </t>
  </si>
  <si>
    <t>เงินฝากคลังคงเหลือ ณ 31 ต.ค. 2557</t>
  </si>
  <si>
    <t>ปี 2558</t>
  </si>
  <si>
    <t>สะสมถึง 30 ก.ย. 57</t>
  </si>
  <si>
    <t xml:space="preserve">     สะสมถึง   31 ต.ค. 57</t>
  </si>
  <si>
    <t xml:space="preserve"> สะสมถึง  30 ก.ย. 57</t>
  </si>
  <si>
    <t xml:space="preserve">   สะสมถึง   31 ต.ค. 57</t>
  </si>
  <si>
    <t>3. การโอนเงิน/อนุมัติส่วนกลาง ปีงบประมาณ 2558</t>
  </si>
  <si>
    <t>ผูกพันปี 2558</t>
  </si>
  <si>
    <t xml:space="preserve">บวกยอดผูกพันตามแผนรายจ่ายปี 2557 (ยังไม่ได้โอนเงินไปจังหวัด)  </t>
  </si>
  <si>
    <t>บวก ยอดผูกพันตามแผนรายจ่ายปี 2558</t>
  </si>
  <si>
    <t>ยอดปราศจากผูกพันยกไป 31 ตุลาคม 2557</t>
  </si>
  <si>
    <t xml:space="preserve">  รายงานเงินกองทุนการปฏิรูปที่ดินเพื่อเกษตรกรรม ณ วันที่ 31 ตุลาคม 2557</t>
  </si>
  <si>
    <t xml:space="preserve"> - เงินกองทุนคงเหลือ ณ วันที่ 31 ตุลาคม 2557 เป็นเงินทั้งสิ้น</t>
  </si>
  <si>
    <t xml:space="preserve"> เงินกองทุนคงเหลือยกไป 31 ตุลาคม 2557</t>
  </si>
  <si>
    <t xml:space="preserve"> - แผนปี 2558</t>
  </si>
  <si>
    <t xml:space="preserve">       - ค่าซื้อคืนที่ดิน</t>
  </si>
  <si>
    <t>ปป.เงินค่าทดแทนที่ดิน (ชลประทาน) ส.ป.ก.เชียงราย จากค่าใช้จ่ายอื่นเป็นค่าซื้อคืนที่ดิน</t>
  </si>
  <si>
    <t xml:space="preserve">คงเหลือ ณ 31 ต.ค. 2557 = 17,127.26 - 14,681.72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</si>
  <si>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2,445.54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</si>
  <si>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(872.42) ล้านบาท       </t>
  </si>
  <si>
    <t xml:space="preserve">รายการผูกพัน  =  3,317.96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</si>
  <si>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ตุลาคม 2557</t>
    </r>
  </si>
  <si>
    <t xml:space="preserve">  รายงานเงินกองทุนการปฏิรูปที่ดินเพื่อเกษตรกรรม ณ วันที่ 30 พฤศจิกายน 2557</t>
  </si>
  <si>
    <t xml:space="preserve"> - เงินกองทุนคงเหลือ ณ วันที่ 30 พฤศจิกายน 2557 เป็นเงินทั้งสิ้น</t>
  </si>
  <si>
    <t xml:space="preserve"> เงินกองทุนคงเหลือยกไป 30 พฤศจิกายน 2557</t>
  </si>
  <si>
    <t>ยอดปราศจากผูกพันยกไป 30 พฤศจิกายน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</si>
  <si>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30 พฤศจิกายน 2557</t>
    </r>
  </si>
  <si>
    <t xml:space="preserve">     สะสมถึง   30 พ.ย. 57</t>
  </si>
  <si>
    <t xml:space="preserve">   สะสมถึง   30 พ.ย. 57</t>
  </si>
  <si>
    <t>เงินฝากคลังคงเหลือ ณ 30 พ.ย. 2557</t>
  </si>
  <si>
    <t xml:space="preserve">คงเหลือ ณ 30 พ.ย. 2557 = 17,157.42 - 14,695.45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</si>
  <si>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2,461.97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</si>
  <si>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(841.47) ล้านบาท       </t>
  </si>
  <si>
    <t xml:space="preserve">รายการผูกพัน  =  3,303.44 ล้านบาท       </t>
  </si>
  <si>
    <t xml:space="preserve">  รายงานเงินกองทุนการปฏิรูปที่ดินเพื่อเกษตรกรรม ณ วันที่ 31 ธันวาคม 2557</t>
  </si>
  <si>
    <t xml:space="preserve"> - เงินกองทุนคงเหลือ ณ วันที่ 31 ธันวาคม 2557 เป็นเงินทั้งสิ้น</t>
  </si>
  <si>
    <t xml:space="preserve"> เงินกองทุนคงเหลือยกไป 31 ธันวาคม 2557</t>
  </si>
  <si>
    <t>ยอดปราศจากผูกพันยกไป 31 ธันวาคม 2557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</si>
  <si>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ธันวาคม 2557</t>
    </r>
  </si>
  <si>
    <t>เงินฝากคลังคงเหลือ ณ 31 ธ.ค. 2557</t>
  </si>
  <si>
    <t xml:space="preserve">คงเหลือ ณ 31 ธ.ค. 2557 = 17,228.13 - 14,728.84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</si>
  <si>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2,499.29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</si>
  <si>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3,270.00 ล้านบาท       </t>
  </si>
  <si>
    <t xml:space="preserve"> คงเหลือปราศจากข้อผูกพัน  =  (770.71) ล้านบาท       </t>
  </si>
  <si>
    <t xml:space="preserve">     สะสมถึง   31 ธ.ค. 57</t>
  </si>
  <si>
    <t xml:space="preserve">   สะสมถึง   31 ธ.ค. 58</t>
  </si>
  <si>
    <t xml:space="preserve">     สะสมถึง   31 ม.ค. 58</t>
  </si>
  <si>
    <t xml:space="preserve">   สะสมถึง   31 ม.ค. 58</t>
  </si>
  <si>
    <t>เงินฝากคลังคงเหลือ ณ 31 ม.ค. 2558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</si>
  <si>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มกราคม 2558</t>
    </r>
  </si>
  <si>
    <t xml:space="preserve">  รายงานเงินกองทุนการปฏิรูปที่ดินเพื่อเกษตรกรรม ณ วันที่ 31 มกราคม 2558</t>
  </si>
  <si>
    <t xml:space="preserve"> - เงินกองทุนคงเหลือ ณ วันที่ 31 มกราคม 2558 เป็นเงินทั้งสิ้น</t>
  </si>
  <si>
    <t xml:space="preserve"> เงินกองทุนคงเหลือยกไป 31 มกราคม 2558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</si>
  <si>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2,534.96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</si>
  <si>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>ยอดปราศจากผูกพันยกไป 31 มกราคม 2558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</si>
  <si>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28 กุมภาพันธ์ 2558</t>
    </r>
  </si>
  <si>
    <t xml:space="preserve">     สะสมถึง   28 ก.พ. 58</t>
  </si>
  <si>
    <t xml:space="preserve">   สะสมถึง  28 ก.พ. 58</t>
  </si>
  <si>
    <t xml:space="preserve">  รายงานเงินกองทุนการปฏิรูปที่ดินเพื่อเกษตรกรรม ณ วันที่ 28 กุมภาพันธ์ 2558</t>
  </si>
  <si>
    <t xml:space="preserve"> - เงินกองทุนคงเหลือ ณ วันที่ 28 กุมภาพันธ์ 2558 เป็นเงินทั้งสิ้น</t>
  </si>
  <si>
    <t xml:space="preserve"> เงินกองทุนคงเหลือยกไป 28 กุมภาพันธ์ 2558</t>
  </si>
  <si>
    <t>ยอดปราศจากผูกพันยกไป 28 กุมภาพันธ์ 2558</t>
  </si>
  <si>
    <t xml:space="preserve">คงเหลือ ณ 31 ม.ค. 2558 = 17,299.61 - 14,764.65 ล้านบาท </t>
  </si>
  <si>
    <t xml:space="preserve"> คงเหลือปราศจากข้อผูกพัน  =  (699.27) ล้านบาท       </t>
  </si>
  <si>
    <t xml:space="preserve">รายการผูกพัน  =  3,234.23 ล้านบาท       </t>
  </si>
  <si>
    <t xml:space="preserve">คงเหลือ ณ 28 ก.พ. 2558 = 17,402.36 - 14,831.43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</si>
  <si>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2,570.93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</si>
  <si>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(596.33) ล้านบาท       </t>
  </si>
  <si>
    <t xml:space="preserve">รายการผูกพัน  =  3,167.26 ล้านบาท       </t>
  </si>
  <si>
    <t>เงินฝากคลังคงเหลือ ณ 28 ก.พ. 2558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</si>
  <si>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มีนาคม 2558</t>
    </r>
  </si>
  <si>
    <t xml:space="preserve">     สะสมถึง   31 มี.ค. 58</t>
  </si>
  <si>
    <t xml:space="preserve">   สะสมถึง  31 มี.ค. 58</t>
  </si>
  <si>
    <t>เงินฝากคลังคงเหลือ ณ 31 มี.ค. 2558</t>
  </si>
  <si>
    <t xml:space="preserve">  รายงานเงินกองทุนการปฏิรูปที่ดินเพื่อเกษตรกรรม ณ วันที่ 31 มีนาคม 2558</t>
  </si>
  <si>
    <t xml:space="preserve"> - เงินกองทุนคงเหลือ ณ วันที่ 31 มีนาคม 2558 เป็นเงินทั้งสิ้น</t>
  </si>
  <si>
    <t xml:space="preserve"> เงินกองทุนคงเหลือยกไป 31 มีนาคม 2558</t>
  </si>
  <si>
    <t>ยอดปราศจากผูกพันยกไป 31 มีนาคม 2558</t>
  </si>
  <si>
    <t xml:space="preserve">คงเหลือ ณ 31 มี.ค. 2558 = 17,547.64 - 14,846.87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</si>
  <si>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2,700.77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</si>
  <si>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(451.14) ล้านบาท       </t>
  </si>
  <si>
    <t xml:space="preserve">รายการผูกพัน  =  3,151.91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</si>
  <si>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30 เมษายน 2558</t>
    </r>
  </si>
  <si>
    <t>เงินฝากคลังคงเหลือ ณ 30 เม.ย. 2558</t>
  </si>
  <si>
    <t xml:space="preserve">     สะสมถึง   30 เม.ย. 58</t>
  </si>
  <si>
    <t xml:space="preserve">   สะสมถึง  30 เม.ย. 58</t>
  </si>
  <si>
    <t xml:space="preserve">  รายงานเงินกองทุนการปฏิรูปที่ดินเพื่อเกษตรกรรม ณ วันที่ 30 เมษายน 2558</t>
  </si>
  <si>
    <t xml:space="preserve"> - เงินกองทุนคงเหลือ ณ วันที่ 30 เมษายน 2558 เป็นเงินทั้งสิ้น</t>
  </si>
  <si>
    <t xml:space="preserve"> เงินกองทุนคงเหลือยกไป 30 เมษายน 2558</t>
  </si>
  <si>
    <t>ยอดปราศจากผูกพันยกไป 30 เมษายน 2558</t>
  </si>
  <si>
    <t xml:space="preserve">คงเหลือ ณ 30 เม.ย. 2558 = 17,646.23 - 14,850.61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</si>
  <si>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2,795.62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</si>
  <si>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(352.57) ล้านบาท       </t>
  </si>
  <si>
    <t xml:space="preserve">รายการผูกพัน  =  3,148.19 ล้านบาท       </t>
  </si>
  <si>
    <t xml:space="preserve">  รายงานเงินกองทุนการปฏิรูปที่ดินเพื่อเกษตรกรรม ณ วันที่ 31 พฤษภาคม 2558</t>
  </si>
  <si>
    <t xml:space="preserve"> - เงินกองทุนคงเหลือ ณ วันที่ 31 พฤษภาคม 2558 เป็นเงินทั้งสิ้น</t>
  </si>
  <si>
    <t xml:space="preserve"> เงินกองทุนคงเหลือยกไป 31 พฤษภาคม 2558</t>
  </si>
  <si>
    <t>ยอดปราศจากผูกพันยกไป 31 พฤษภาคม 2558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</si>
  <si>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พฤษภาคม 2558</t>
    </r>
  </si>
  <si>
    <t xml:space="preserve">     สะสมถึง   31 พ.ค. 58</t>
  </si>
  <si>
    <t xml:space="preserve">   สะสมถึง  31 พ.ค. 58</t>
  </si>
  <si>
    <t>เงินฝากคลังคงเหลือ ณ 31 พ.ค. 2558</t>
  </si>
  <si>
    <t xml:space="preserve">คงเหลือ ณ 31 พ.ค. 2558 = 17,745.69 - 14,879.37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</si>
  <si>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2,866.32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</si>
  <si>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(253.77) ล้านบาท       </t>
  </si>
  <si>
    <t xml:space="preserve">รายการผูกพัน  =  3,120.09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</si>
  <si>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30 มิถุนายน 2558</t>
    </r>
  </si>
  <si>
    <t xml:space="preserve">     สะสมถึง   30 มิ.ย. 58</t>
  </si>
  <si>
    <t xml:space="preserve">   สะสมถึง  30 มิ.ย. 58</t>
  </si>
  <si>
    <t>เงินฝากคลังคงเหลือ ณ 30 มิ.ย. 2558</t>
  </si>
  <si>
    <t xml:space="preserve">  รายงานเงินกองทุนการปฏิรูปที่ดินเพื่อเกษตรกรรม ณ วันที่ 30 มิถุนายน 2558</t>
  </si>
  <si>
    <t xml:space="preserve"> - เงินกองทุนคงเหลือ ณ วันที่ 30 มิถุนายน 2558 เป็นเงินทั้งสิ้น</t>
  </si>
  <si>
    <t xml:space="preserve"> เงินกองทุนคงเหลือยกไป 30 มิถุนายน 2558</t>
  </si>
  <si>
    <t>ยอดปราศจากผูกพันยกไป 30 มิถุนายน 2558</t>
  </si>
  <si>
    <t xml:space="preserve">คงเหลือ ณ 30 มิ.ย. 2558 = 17,845.66 - 15,018.75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</si>
  <si>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2,826.91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</si>
  <si>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รายการผูกพัน  =  2,973.30 ล้านบาท       </t>
  </si>
  <si>
    <t xml:space="preserve"> คงเหลือปราศจากข้อผูกพัน  =  (146.39)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</si>
  <si>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กรกฎาคม 2558</t>
    </r>
  </si>
  <si>
    <t xml:space="preserve">     สะสมถึง   31 ก.ค. 58</t>
  </si>
  <si>
    <t xml:space="preserve">   สะสมถึง  31 ก.ค. 58</t>
  </si>
  <si>
    <t>เงินฝากคลังคงเหลือ ณ 31 ก.ค. 2558</t>
  </si>
  <si>
    <t xml:space="preserve">  รายงานเงินกองทุนการปฏิรูปที่ดินเพื่อเกษตรกรรม ณ วันที่ 31 กรกฎาคม 2558</t>
  </si>
  <si>
    <t xml:space="preserve"> - เงินกองทุนคงเหลือ ณ วันที่ 31 กรกฎาคม 2558 เป็นเงินทั้งสิ้น</t>
  </si>
  <si>
    <t xml:space="preserve"> เงินกองทุนคงเหลือยกไป 31 กรกฎาคม 2558</t>
  </si>
  <si>
    <t>ยอดปราศจากผูกพันยกไป 31 กรกฎาคม 2558</t>
  </si>
  <si>
    <t xml:space="preserve">คงเหลือ ณ 31 ก.ค. 2558 = 17,936.56 - 15,194.96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</si>
  <si>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2,741.60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</si>
  <si>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 (55.62) ล้านบาท       </t>
  </si>
  <si>
    <t xml:space="preserve">รายการผูกพัน  =  2,797.22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</si>
  <si>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31 สิงหาคม 2558</t>
    </r>
  </si>
  <si>
    <t xml:space="preserve">     สะสมถึง   31 ส.ค. 58</t>
  </si>
  <si>
    <t xml:space="preserve">   สะสมถึง  31 ส.ค. 58</t>
  </si>
  <si>
    <t>เงินฝากคลังคงเหลือ ณ 31 ส.ค. 2558</t>
  </si>
  <si>
    <t xml:space="preserve">  รายงานเงินกองทุนการปฏิรูปที่ดินเพื่อเกษตรกรรม ณ วันที่ 31 สิงหาคม 2558</t>
  </si>
  <si>
    <t xml:space="preserve"> - เงินกองทุนคงเหลือ ณ วันที่ 31 สิงหาคม 2558 เป็นเงินทั้งสิ้น</t>
  </si>
  <si>
    <t xml:space="preserve"> เงินกองทุนคงเหลือยกไป 31 สิงหาคม 2558</t>
  </si>
  <si>
    <t>ยอดปราศจากผูกพันยกไป 31 สิงหาาคม 2558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</si>
  <si>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2,719.05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</si>
  <si>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คงเหลือ ณ 31 ส.ค. 2558 = 18,004.54 - 15,285.49 ล้านบาท </t>
  </si>
  <si>
    <t xml:space="preserve"> คงเหลือปราศจากข้อผูกพัน  = 22.69 ล้านบาท       </t>
  </si>
  <si>
    <t xml:space="preserve">รายการผูกพัน  =  2,696.36 ล้านบาท       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</si>
  <si>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2519 - 2558  สิ้นสุด วันที่ 30 กันยายน 2558</t>
    </r>
  </si>
  <si>
    <t xml:space="preserve">     สะสมถึง   30 ก.ย. 58</t>
  </si>
  <si>
    <t xml:space="preserve">   สะสมถึง  30 ก.ย. 58</t>
  </si>
  <si>
    <t>เงินฝากคลังคงเหลือ ณ 30 ก.ย. 2558</t>
  </si>
  <si>
    <t xml:space="preserve">  รายงานเงินกองทุนการปฏิรูปที่ดินเพื่อเกษตรกรรม ณ วันที่ 30 กันยายน 2558</t>
  </si>
  <si>
    <t xml:space="preserve"> - เงินกองทุนคงเหลือ ณ วันที่ 30 กันยายน 2558 เป็นเงินทั้งสิ้น</t>
  </si>
  <si>
    <t xml:space="preserve"> เงินกองทุนคงเหลือยกไป 30 กันยายน 2558</t>
  </si>
  <si>
    <t>ยอดปราศจากผูกพันยกไป 30 กันยายน 2558</t>
  </si>
  <si>
    <t xml:space="preserve">คงเหลือ ณ 30 ก.ย. 2558 = 18,050.01 - 15,388.48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</si>
  <si>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2,661.53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</si>
  <si>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73.51 ล้านบาท       </t>
  </si>
  <si>
    <t xml:space="preserve">รายการผูกพัน  =  2,588.02 ล้านบาท       </t>
  </si>
  <si>
    <t xml:space="preserve">  รายงานเงินกองทุนการปฏิรูปที่ดินเพื่อเกษตรกรรม ณ วันที่ 31 ตุลาคม 2558</t>
  </si>
  <si>
    <t xml:space="preserve"> - เงินกองทุนคงเหลือ ณ วันที่ 31 ตุลาคม 2558 เป็นเงินทั้งสิ้น</t>
  </si>
  <si>
    <t xml:space="preserve"> เงินกองทุนคงเหลือยกไป 31 ตุลาคม 2558</t>
  </si>
  <si>
    <t>ยอดปราศจากผูกพันยกไป 31 ตุลาคม 2558</t>
  </si>
  <si>
    <r>
      <t xml:space="preserve">  รายงานฐานะการเงินกองทุนการปฏิรูปที่ดินฯ ตั้งแต่</t>
    </r>
    <r>
      <rPr>
        <b/>
        <sz val="18"/>
        <rFont val="Angsana New"/>
        <family val="1"/>
      </rPr>
      <t xml:space="preserve"> ปีงบประมาณ 2519 - 2559  สิ้นสุด วันที่ 31 ตุลาคม 2558</t>
    </r>
  </si>
  <si>
    <t>สะสมถึง 30 ก.ย. 58</t>
  </si>
  <si>
    <t xml:space="preserve">     สะสมถึง   31 ต.ค. 58</t>
  </si>
  <si>
    <t xml:space="preserve"> สะสมถึง  30 ก.ย. 58</t>
  </si>
  <si>
    <t xml:space="preserve">   สะสมถึง  31 ต.ค. 58</t>
  </si>
  <si>
    <t>เงินฝากคลังคงเหลือ ณ 31 ต.ค. 2558</t>
  </si>
  <si>
    <t>ผูกพันปี 2559</t>
  </si>
  <si>
    <t xml:space="preserve">บวกยอดผูกพันตามแผนรายจ่ายปี 2558 (ยังไม่ได้โอนเงินไปจังหวัด)  </t>
  </si>
  <si>
    <t>บวก ยอดผูกพันตามแผนรายจ่ายปี 2559</t>
  </si>
  <si>
    <t xml:space="preserve"> - แผนปี 2559</t>
  </si>
  <si>
    <t xml:space="preserve">คงเหลือ ณ 31 ต.ค. 2558 = 18,073.52 - 15,405.11 ล้านบาท </t>
  </si>
  <si>
    <r>
      <t xml:space="preserve">                                        = </t>
    </r>
    <r>
      <rPr>
        <b/>
        <sz val="14"/>
        <color rgb="FF0000FF"/>
        <rFont val="Angsana New"/>
        <family val="1"/>
      </rPr>
      <t>2,668.41</t>
    </r>
    <r>
      <rPr>
        <b/>
        <sz val="14"/>
        <color indexed="12"/>
        <rFont val="Angsana New"/>
        <family val="1"/>
      </rPr>
      <t xml:space="preserve"> </t>
    </r>
    <r>
      <rPr>
        <b/>
        <sz val="14"/>
        <rFont val="Angsana New"/>
        <family val="1"/>
      </rPr>
      <t>ล้านบาท</t>
    </r>
  </si>
  <si>
    <t xml:space="preserve"> คงเหลือปราศจากข้อผูกพัน  = (991.48) ล้านบาท       </t>
  </si>
  <si>
    <t xml:space="preserve">รายการผูกพัน  =  3,659.89 ล้านบาท       </t>
  </si>
  <si>
    <t>3. การโอนเงิน/อนุมัติส่วนกลาง ปีงบประมาณ 2559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</si>
</sst>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#,##0.00;\(#,##0.00\)"/>
  </numFmts>
  <fonts count="37">
    <font>
      <sz val="10"/>
      <name val="Arial"/>
      <charset val="222"/>
    </font>
    <font>
      <sz val="10"/>
      <name val="Arial"/>
      <family val="2"/>
    </font>
    <font>
      <b/>
      <sz val="20"/>
      <name val="Angsana New"/>
      <family val="1"/>
    </font>
    <font>
      <b/>
      <sz val="18"/>
      <name val="Angsana New"/>
      <family val="1"/>
    </font>
    <font>
      <b/>
      <sz val="16"/>
      <name val="Angsana New"/>
      <family val="1"/>
    </font>
    <font>
      <b/>
      <sz val="14"/>
      <name val="Angsana New"/>
      <family val="1"/>
    </font>
    <font>
      <b/>
      <sz val="12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Angsana New"/>
      <family val="1"/>
    </font>
    <font>
      <b/>
      <sz val="18"/>
      <color indexed="12"/>
      <name val="Angsana New"/>
      <family val="1"/>
    </font>
    <font>
      <b/>
      <sz val="16"/>
      <color indexed="12"/>
      <name val="Angsana New"/>
      <family val="1"/>
    </font>
    <font>
      <b/>
      <sz val="15"/>
      <color indexed="12"/>
      <name val="Angsana New"/>
      <family val="1"/>
    </font>
    <font>
      <b/>
      <sz val="14"/>
      <color indexed="12"/>
      <name val="Angsana New"/>
      <family val="1"/>
    </font>
    <font>
      <b/>
      <sz val="16"/>
      <color indexed="10"/>
      <name val="Angsana New"/>
      <family val="1"/>
    </font>
    <font>
      <b/>
      <sz val="10"/>
      <name val="Arial"/>
      <family val="2"/>
    </font>
    <font>
      <b/>
      <sz val="20"/>
      <color indexed="10"/>
      <name val="Angsana New"/>
      <family val="1"/>
    </font>
    <font>
      <sz val="10"/>
      <color indexed="10"/>
      <name val="Arial"/>
      <family val="2"/>
    </font>
    <font>
      <sz val="8"/>
      <name val="Arial"/>
      <family val="2"/>
    </font>
    <font>
      <sz val="12"/>
      <name val="Angsana New"/>
      <family val="1"/>
    </font>
    <font>
      <b/>
      <sz val="20"/>
      <name val="TH SarabunPSK"/>
      <family val="2"/>
    </font>
    <font>
      <sz val="16"/>
      <name val="TH SarabunPSK"/>
      <family val="2"/>
    </font>
    <font>
      <b/>
      <sz val="18"/>
      <name val="TH SarabunPSK"/>
      <family val="2"/>
    </font>
    <font>
      <b/>
      <sz val="16"/>
      <name val="TH SarabunIT๙"/>
      <family val="2"/>
    </font>
    <font>
      <b/>
      <sz val="16"/>
      <name val="TH SarabunPSK"/>
      <family val="2"/>
    </font>
    <font>
      <sz val="18"/>
      <name val="TH SarabunPSK"/>
      <family val="2"/>
    </font>
    <font>
      <b/>
      <u/>
      <sz val="16"/>
      <name val="TH SarabunPSK"/>
      <family val="2"/>
    </font>
    <font>
      <u/>
      <sz val="16"/>
      <name val="TH SarabunPSK"/>
      <family val="2"/>
    </font>
    <font>
      <u val="singleAccounting"/>
      <sz val="16"/>
      <name val="TH SarabunPSK"/>
      <family val="2"/>
    </font>
    <font>
      <b/>
      <sz val="16"/>
      <color theme="1"/>
      <name val="Angsana New"/>
      <family val="1"/>
    </font>
    <font>
      <sz val="16"/>
      <color theme="1"/>
      <name val="AngsanaUPC"/>
      <family val="1"/>
      <charset val="222"/>
    </font>
    <font>
      <sz val="14"/>
      <color theme="1"/>
      <name val="AngsanaUPC"/>
      <family val="1"/>
      <charset val="222"/>
    </font>
    <font>
      <sz val="16"/>
      <color theme="1"/>
      <name val="Angsana New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0000FF"/>
      <name val="Angsana New"/>
      <family val="1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9CC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1" xfId="0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187" fontId="7" fillId="0" borderId="2" xfId="0" applyNumberFormat="1" applyFont="1" applyBorder="1"/>
    <xf numFmtId="187" fontId="4" fillId="2" borderId="2" xfId="0" applyNumberFormat="1" applyFont="1" applyFill="1" applyBorder="1"/>
    <xf numFmtId="43" fontId="31" fillId="3" borderId="2" xfId="1" applyFont="1" applyFill="1" applyBorder="1"/>
    <xf numFmtId="187" fontId="4" fillId="4" borderId="2" xfId="0" applyNumberFormat="1" applyFont="1" applyFill="1" applyBorder="1"/>
    <xf numFmtId="187" fontId="4" fillId="0" borderId="2" xfId="0" applyNumberFormat="1" applyFont="1" applyBorder="1"/>
    <xf numFmtId="187" fontId="4" fillId="2" borderId="1" xfId="0" applyNumberFormat="1" applyFont="1" applyFill="1" applyBorder="1"/>
    <xf numFmtId="187" fontId="30" fillId="3" borderId="1" xfId="0" applyNumberFormat="1" applyFont="1" applyFill="1" applyBorder="1"/>
    <xf numFmtId="187" fontId="4" fillId="5" borderId="1" xfId="0" applyNumberFormat="1" applyFont="1" applyFill="1" applyBorder="1"/>
    <xf numFmtId="187" fontId="4" fillId="0" borderId="1" xfId="0" applyNumberFormat="1" applyFont="1" applyFill="1" applyBorder="1"/>
    <xf numFmtId="43" fontId="4" fillId="0" borderId="1" xfId="0" applyNumberFormat="1" applyFont="1" applyFill="1" applyBorder="1"/>
    <xf numFmtId="187" fontId="4" fillId="6" borderId="1" xfId="0" applyNumberFormat="1" applyFont="1" applyFill="1" applyBorder="1"/>
    <xf numFmtId="187" fontId="0" fillId="0" borderId="0" xfId="0" applyNumberFormat="1"/>
    <xf numFmtId="187" fontId="7" fillId="0" borderId="3" xfId="0" applyNumberFormat="1" applyFont="1" applyBorder="1"/>
    <xf numFmtId="187" fontId="4" fillId="2" borderId="3" xfId="0" applyNumberFormat="1" applyFont="1" applyFill="1" applyBorder="1"/>
    <xf numFmtId="43" fontId="32" fillId="3" borderId="3" xfId="1" applyFont="1" applyFill="1" applyBorder="1"/>
    <xf numFmtId="187" fontId="4" fillId="4" borderId="4" xfId="0" applyNumberFormat="1" applyFont="1" applyFill="1" applyBorder="1"/>
    <xf numFmtId="187" fontId="7" fillId="2" borderId="4" xfId="0" applyNumberFormat="1" applyFont="1" applyFill="1" applyBorder="1"/>
    <xf numFmtId="43" fontId="33" fillId="3" borderId="4" xfId="1" applyFont="1" applyFill="1" applyBorder="1"/>
    <xf numFmtId="187" fontId="7" fillId="5" borderId="4" xfId="0" applyNumberFormat="1" applyFont="1" applyFill="1" applyBorder="1"/>
    <xf numFmtId="187" fontId="7" fillId="0" borderId="4" xfId="0" applyNumberFormat="1" applyFont="1" applyFill="1" applyBorder="1"/>
    <xf numFmtId="43" fontId="7" fillId="0" borderId="4" xfId="0" applyNumberFormat="1" applyFont="1" applyFill="1" applyBorder="1" applyAlignment="1">
      <alignment horizontal="right"/>
    </xf>
    <xf numFmtId="187" fontId="7" fillId="6" borderId="4" xfId="0" applyNumberFormat="1" applyFont="1" applyFill="1" applyBorder="1" applyAlignment="1"/>
    <xf numFmtId="187" fontId="7" fillId="2" borderId="3" xfId="0" applyNumberFormat="1" applyFont="1" applyFill="1" applyBorder="1"/>
    <xf numFmtId="43" fontId="31" fillId="3" borderId="3" xfId="1" applyFont="1" applyFill="1" applyBorder="1"/>
    <xf numFmtId="187" fontId="7" fillId="0" borderId="3" xfId="0" applyNumberFormat="1" applyFont="1" applyFill="1" applyBorder="1"/>
    <xf numFmtId="43" fontId="9" fillId="0" borderId="3" xfId="0" applyNumberFormat="1" applyFont="1" applyFill="1" applyBorder="1"/>
    <xf numFmtId="187" fontId="7" fillId="6" borderId="3" xfId="0" applyNumberFormat="1" applyFont="1" applyFill="1" applyBorder="1" applyAlignment="1"/>
    <xf numFmtId="187" fontId="7" fillId="7" borderId="3" xfId="0" applyNumberFormat="1" applyFont="1" applyFill="1" applyBorder="1"/>
    <xf numFmtId="187" fontId="4" fillId="7" borderId="3" xfId="0" applyNumberFormat="1" applyFont="1" applyFill="1" applyBorder="1"/>
    <xf numFmtId="43" fontId="31" fillId="7" borderId="3" xfId="1" applyFont="1" applyFill="1" applyBorder="1"/>
    <xf numFmtId="187" fontId="4" fillId="7" borderId="4" xfId="0" applyNumberFormat="1" applyFont="1" applyFill="1" applyBorder="1"/>
    <xf numFmtId="187" fontId="7" fillId="2" borderId="5" xfId="0" applyNumberFormat="1" applyFont="1" applyFill="1" applyBorder="1"/>
    <xf numFmtId="43" fontId="32" fillId="3" borderId="5" xfId="1" applyFont="1" applyFill="1" applyBorder="1"/>
    <xf numFmtId="43" fontId="7" fillId="0" borderId="3" xfId="1" applyFont="1" applyFill="1" applyBorder="1"/>
    <xf numFmtId="43" fontId="9" fillId="0" borderId="3" xfId="1" applyNumberFormat="1" applyFont="1" applyFill="1" applyBorder="1"/>
    <xf numFmtId="43" fontId="7" fillId="6" borderId="3" xfId="1" applyFont="1" applyFill="1" applyBorder="1" applyAlignment="1"/>
    <xf numFmtId="187" fontId="7" fillId="2" borderId="6" xfId="0" applyNumberFormat="1" applyFont="1" applyFill="1" applyBorder="1"/>
    <xf numFmtId="43" fontId="32" fillId="3" borderId="6" xfId="1" applyFont="1" applyFill="1" applyBorder="1"/>
    <xf numFmtId="187" fontId="7" fillId="0" borderId="6" xfId="1" applyNumberFormat="1" applyFont="1" applyFill="1" applyBorder="1"/>
    <xf numFmtId="43" fontId="9" fillId="0" borderId="6" xfId="0" applyNumberFormat="1" applyFont="1" applyFill="1" applyBorder="1"/>
    <xf numFmtId="187" fontId="4" fillId="0" borderId="3" xfId="0" applyNumberFormat="1" applyFont="1" applyBorder="1"/>
    <xf numFmtId="43" fontId="4" fillId="0" borderId="1" xfId="0" applyNumberFormat="1" applyFont="1" applyFill="1" applyBorder="1" applyAlignment="1">
      <alignment horizontal="right"/>
    </xf>
    <xf numFmtId="187" fontId="4" fillId="6" borderId="1" xfId="0" applyNumberFormat="1" applyFont="1" applyFill="1" applyBorder="1" applyAlignment="1"/>
    <xf numFmtId="187" fontId="4" fillId="0" borderId="7" xfId="0" applyNumberFormat="1" applyFont="1" applyFill="1" applyBorder="1"/>
    <xf numFmtId="187" fontId="30" fillId="3" borderId="3" xfId="0" applyNumberFormat="1" applyFont="1" applyFill="1" applyBorder="1"/>
    <xf numFmtId="43" fontId="32" fillId="3" borderId="4" xfId="1" applyFont="1" applyFill="1" applyBorder="1"/>
    <xf numFmtId="43" fontId="9" fillId="0" borderId="4" xfId="1" applyNumberFormat="1" applyFont="1" applyFill="1" applyBorder="1"/>
    <xf numFmtId="43" fontId="7" fillId="6" borderId="4" xfId="1" applyFont="1" applyFill="1" applyBorder="1" applyAlignment="1"/>
    <xf numFmtId="187" fontId="9" fillId="0" borderId="7" xfId="0" applyNumberFormat="1" applyFont="1" applyFill="1" applyBorder="1"/>
    <xf numFmtId="187" fontId="0" fillId="9" borderId="3" xfId="0" applyNumberFormat="1" applyFill="1" applyBorder="1"/>
    <xf numFmtId="187" fontId="7" fillId="4" borderId="4" xfId="0" applyNumberFormat="1" applyFont="1" applyFill="1" applyBorder="1"/>
    <xf numFmtId="187" fontId="7" fillId="2" borderId="5" xfId="0" applyNumberFormat="1" applyFont="1" applyFill="1" applyBorder="1" applyAlignment="1"/>
    <xf numFmtId="43" fontId="7" fillId="0" borderId="3" xfId="0" applyNumberFormat="1" applyFont="1" applyFill="1" applyBorder="1" applyAlignment="1">
      <alignment horizontal="right"/>
    </xf>
    <xf numFmtId="187" fontId="7" fillId="2" borderId="3" xfId="0" applyNumberFormat="1" applyFont="1" applyFill="1" applyBorder="1" applyAlignment="1"/>
    <xf numFmtId="187" fontId="7" fillId="0" borderId="5" xfId="0" applyNumberFormat="1" applyFont="1" applyFill="1" applyBorder="1"/>
    <xf numFmtId="43" fontId="7" fillId="0" borderId="5" xfId="0" applyNumberFormat="1" applyFont="1" applyFill="1" applyBorder="1" applyAlignment="1">
      <alignment horizontal="right"/>
    </xf>
    <xf numFmtId="187" fontId="7" fillId="2" borderId="4" xfId="0" applyNumberFormat="1" applyFont="1" applyFill="1" applyBorder="1" applyAlignment="1"/>
    <xf numFmtId="43" fontId="33" fillId="7" borderId="3" xfId="1" applyFont="1" applyFill="1" applyBorder="1"/>
    <xf numFmtId="43" fontId="7" fillId="7" borderId="3" xfId="1" applyNumberFormat="1" applyFont="1" applyFill="1" applyBorder="1" applyAlignment="1">
      <alignment horizontal="right"/>
    </xf>
    <xf numFmtId="43" fontId="7" fillId="7" borderId="3" xfId="1" applyFont="1" applyFill="1" applyBorder="1" applyAlignment="1"/>
    <xf numFmtId="187" fontId="10" fillId="0" borderId="0" xfId="0" applyNumberFormat="1" applyFont="1" applyBorder="1" applyAlignment="1"/>
    <xf numFmtId="187" fontId="0" fillId="2" borderId="4" xfId="0" applyNumberFormat="1" applyFill="1" applyBorder="1" applyAlignment="1"/>
    <xf numFmtId="187" fontId="32" fillId="3" borderId="3" xfId="0" applyNumberFormat="1" applyFont="1" applyFill="1" applyBorder="1"/>
    <xf numFmtId="43" fontId="8" fillId="9" borderId="3" xfId="1" applyFont="1" applyFill="1" applyBorder="1"/>
    <xf numFmtId="187" fontId="7" fillId="0" borderId="8" xfId="0" applyNumberFormat="1" applyFont="1" applyBorder="1"/>
    <xf numFmtId="187" fontId="7" fillId="2" borderId="8" xfId="0" applyNumberFormat="1" applyFont="1" applyFill="1" applyBorder="1"/>
    <xf numFmtId="187" fontId="33" fillId="3" borderId="8" xfId="0" applyNumberFormat="1" applyFont="1" applyFill="1" applyBorder="1"/>
    <xf numFmtId="187" fontId="7" fillId="5" borderId="8" xfId="0" applyNumberFormat="1" applyFont="1" applyFill="1" applyBorder="1"/>
    <xf numFmtId="187" fontId="7" fillId="0" borderId="8" xfId="0" applyNumberFormat="1" applyFont="1" applyFill="1" applyBorder="1"/>
    <xf numFmtId="43" fontId="7" fillId="0" borderId="8" xfId="0" applyNumberFormat="1" applyFont="1" applyFill="1" applyBorder="1" applyAlignment="1">
      <alignment horizontal="right"/>
    </xf>
    <xf numFmtId="187" fontId="7" fillId="6" borderId="8" xfId="0" applyNumberFormat="1" applyFont="1" applyFill="1" applyBorder="1" applyAlignment="1"/>
    <xf numFmtId="187" fontId="7" fillId="4" borderId="3" xfId="0" applyNumberFormat="1" applyFont="1" applyFill="1" applyBorder="1"/>
    <xf numFmtId="187" fontId="11" fillId="0" borderId="3" xfId="0" applyNumberFormat="1" applyFont="1" applyFill="1" applyBorder="1" applyAlignment="1"/>
    <xf numFmtId="187" fontId="30" fillId="5" borderId="1" xfId="0" applyNumberFormat="1" applyFont="1" applyFill="1" applyBorder="1"/>
    <xf numFmtId="187" fontId="12" fillId="5" borderId="1" xfId="0" applyNumberFormat="1" applyFont="1" applyFill="1" applyBorder="1"/>
    <xf numFmtId="43" fontId="4" fillId="6" borderId="1" xfId="0" applyNumberFormat="1" applyFont="1" applyFill="1" applyBorder="1" applyAlignment="1">
      <alignment horizontal="right"/>
    </xf>
    <xf numFmtId="187" fontId="4" fillId="4" borderId="3" xfId="0" applyNumberFormat="1" applyFont="1" applyFill="1" applyBorder="1"/>
    <xf numFmtId="187" fontId="7" fillId="0" borderId="3" xfId="0" applyNumberFormat="1" applyFont="1" applyFill="1" applyBorder="1" applyAlignment="1"/>
    <xf numFmtId="187" fontId="5" fillId="3" borderId="8" xfId="0" applyNumberFormat="1" applyFont="1" applyFill="1" applyBorder="1"/>
    <xf numFmtId="187" fontId="4" fillId="2" borderId="8" xfId="1" applyNumberFormat="1" applyFont="1" applyFill="1" applyBorder="1"/>
    <xf numFmtId="187" fontId="30" fillId="3" borderId="8" xfId="1" applyNumberFormat="1" applyFont="1" applyFill="1" applyBorder="1"/>
    <xf numFmtId="187" fontId="12" fillId="3" borderId="8" xfId="0" applyNumberFormat="1" applyFont="1" applyFill="1" applyBorder="1"/>
    <xf numFmtId="187" fontId="7" fillId="0" borderId="5" xfId="0" applyNumberFormat="1" applyFont="1" applyFill="1" applyBorder="1" applyAlignment="1"/>
    <xf numFmtId="187" fontId="32" fillId="3" borderId="5" xfId="0" applyNumberFormat="1" applyFont="1" applyFill="1" applyBorder="1"/>
    <xf numFmtId="187" fontId="7" fillId="4" borderId="5" xfId="0" applyNumberFormat="1" applyFont="1" applyFill="1" applyBorder="1"/>
    <xf numFmtId="187" fontId="5" fillId="3" borderId="5" xfId="0" applyNumberFormat="1" applyFont="1" applyFill="1" applyBorder="1"/>
    <xf numFmtId="187" fontId="4" fillId="2" borderId="5" xfId="0" applyNumberFormat="1" applyFont="1" applyFill="1" applyBorder="1"/>
    <xf numFmtId="187" fontId="30" fillId="3" borderId="5" xfId="0" applyNumberFormat="1" applyFont="1" applyFill="1" applyBorder="1"/>
    <xf numFmtId="187" fontId="4" fillId="3" borderId="5" xfId="0" applyNumberFormat="1" applyFont="1" applyFill="1" applyBorder="1"/>
    <xf numFmtId="187" fontId="4" fillId="4" borderId="1" xfId="0" applyNumberFormat="1" applyFont="1" applyFill="1" applyBorder="1" applyAlignment="1">
      <alignment horizontal="right"/>
    </xf>
    <xf numFmtId="187" fontId="4" fillId="4" borderId="1" xfId="0" applyNumberFormat="1" applyFont="1" applyFill="1" applyBorder="1"/>
    <xf numFmtId="187" fontId="30" fillId="4" borderId="1" xfId="0" applyNumberFormat="1" applyFont="1" applyFill="1" applyBorder="1"/>
    <xf numFmtId="187" fontId="4" fillId="8" borderId="1" xfId="0" applyNumberFormat="1" applyFont="1" applyFill="1" applyBorder="1" applyAlignment="1">
      <alignment horizontal="left"/>
    </xf>
    <xf numFmtId="187" fontId="4" fillId="8" borderId="1" xfId="0" applyNumberFormat="1" applyFont="1" applyFill="1" applyBorder="1"/>
    <xf numFmtId="187" fontId="30" fillId="8" borderId="1" xfId="0" applyNumberFormat="1" applyFont="1" applyFill="1" applyBorder="1"/>
    <xf numFmtId="0" fontId="34" fillId="0" borderId="0" xfId="0" applyFont="1"/>
    <xf numFmtId="43" fontId="0" fillId="0" borderId="0" xfId="0" applyNumberFormat="1"/>
    <xf numFmtId="4" fontId="16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/>
    <xf numFmtId="4" fontId="0" fillId="0" borderId="0" xfId="0" applyNumberFormat="1"/>
    <xf numFmtId="4" fontId="34" fillId="0" borderId="0" xfId="0" applyNumberFormat="1" applyFont="1"/>
    <xf numFmtId="43" fontId="16" fillId="0" borderId="0" xfId="0" applyNumberFormat="1" applyFont="1"/>
    <xf numFmtId="43" fontId="17" fillId="0" borderId="0" xfId="1" applyFont="1" applyAlignment="1">
      <alignment horizontal="center"/>
    </xf>
    <xf numFmtId="0" fontId="16" fillId="0" borderId="0" xfId="0" applyFont="1"/>
    <xf numFmtId="43" fontId="8" fillId="0" borderId="0" xfId="1"/>
    <xf numFmtId="43" fontId="34" fillId="0" borderId="0" xfId="0" applyNumberFormat="1" applyFont="1"/>
    <xf numFmtId="187" fontId="34" fillId="0" borderId="0" xfId="0" applyNumberFormat="1" applyFont="1"/>
    <xf numFmtId="0" fontId="5" fillId="0" borderId="0" xfId="0" applyFont="1" applyAlignment="1">
      <alignment horizontal="right"/>
    </xf>
    <xf numFmtId="43" fontId="10" fillId="0" borderId="0" xfId="1" applyFont="1"/>
    <xf numFmtId="187" fontId="7" fillId="0" borderId="0" xfId="0" applyNumberFormat="1" applyFont="1" applyBorder="1"/>
    <xf numFmtId="43" fontId="34" fillId="0" borderId="0" xfId="1" applyFont="1"/>
    <xf numFmtId="4" fontId="5" fillId="0" borderId="0" xfId="0" applyNumberFormat="1" applyFont="1" applyAlignment="1">
      <alignment horizontal="right"/>
    </xf>
    <xf numFmtId="0" fontId="18" fillId="0" borderId="0" xfId="0" applyFont="1"/>
    <xf numFmtId="43" fontId="16" fillId="0" borderId="9" xfId="1" applyFont="1" applyBorder="1"/>
    <xf numFmtId="0" fontId="3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0" xfId="0" applyBorder="1"/>
    <xf numFmtId="43" fontId="8" fillId="0" borderId="0" xfId="1" applyFont="1"/>
    <xf numFmtId="0" fontId="19" fillId="0" borderId="0" xfId="0" applyFont="1"/>
    <xf numFmtId="0" fontId="20" fillId="0" borderId="0" xfId="0" applyFont="1" applyAlignment="1">
      <alignment horizontal="left"/>
    </xf>
    <xf numFmtId="43" fontId="35" fillId="0" borderId="0" xfId="1" applyFont="1" applyBorder="1"/>
    <xf numFmtId="43" fontId="16" fillId="0" borderId="10" xfId="1" applyFont="1" applyBorder="1"/>
    <xf numFmtId="43" fontId="34" fillId="0" borderId="0" xfId="1" applyFont="1" applyAlignment="1">
      <alignment horizontal="right"/>
    </xf>
    <xf numFmtId="0" fontId="8" fillId="0" borderId="0" xfId="0" applyFont="1"/>
    <xf numFmtId="43" fontId="8" fillId="0" borderId="10" xfId="1" applyBorder="1"/>
    <xf numFmtId="43" fontId="16" fillId="0" borderId="0" xfId="1" applyFont="1" applyBorder="1"/>
    <xf numFmtId="0" fontId="0" fillId="0" borderId="0" xfId="0" applyAlignment="1">
      <alignment horizontal="right"/>
    </xf>
    <xf numFmtId="43" fontId="0" fillId="0" borderId="0" xfId="1" applyFont="1"/>
    <xf numFmtId="0" fontId="8" fillId="0" borderId="0" xfId="0" applyFont="1" applyAlignment="1">
      <alignment horizontal="right"/>
    </xf>
    <xf numFmtId="43" fontId="16" fillId="0" borderId="11" xfId="0" applyNumberFormat="1" applyFont="1" applyBorder="1"/>
    <xf numFmtId="43" fontId="16" fillId="0" borderId="11" xfId="1" applyFont="1" applyBorder="1"/>
    <xf numFmtId="43" fontId="16" fillId="0" borderId="12" xfId="1" applyFont="1" applyBorder="1"/>
    <xf numFmtId="43" fontId="8" fillId="0" borderId="0" xfId="1" applyFont="1" applyFill="1" applyBorder="1"/>
    <xf numFmtId="187" fontId="16" fillId="0" borderId="11" xfId="1" applyNumberFormat="1" applyFont="1" applyBorder="1"/>
    <xf numFmtId="187" fontId="10" fillId="0" borderId="0" xfId="1" applyNumberFormat="1" applyFont="1"/>
    <xf numFmtId="43" fontId="16" fillId="0" borderId="0" xfId="1" applyFont="1"/>
    <xf numFmtId="0" fontId="22" fillId="0" borderId="0" xfId="0" applyFont="1"/>
    <xf numFmtId="43" fontId="22" fillId="0" borderId="0" xfId="2" applyFont="1"/>
    <xf numFmtId="0" fontId="21" fillId="0" borderId="0" xfId="0" applyFont="1" applyAlignment="1">
      <alignment horizontal="center"/>
    </xf>
    <xf numFmtId="0" fontId="23" fillId="0" borderId="0" xfId="0" applyFont="1"/>
    <xf numFmtId="187" fontId="23" fillId="0" borderId="0" xfId="2" applyNumberFormat="1" applyFont="1"/>
    <xf numFmtId="187" fontId="22" fillId="0" borderId="0" xfId="2" applyNumberFormat="1" applyFont="1"/>
    <xf numFmtId="43" fontId="22" fillId="0" borderId="0" xfId="0" applyNumberFormat="1" applyFont="1"/>
    <xf numFmtId="187" fontId="22" fillId="0" borderId="0" xfId="0" applyNumberFormat="1" applyFont="1"/>
    <xf numFmtId="0" fontId="24" fillId="0" borderId="0" xfId="0" applyFont="1"/>
    <xf numFmtId="43" fontId="23" fillId="0" borderId="0" xfId="2" applyFont="1"/>
    <xf numFmtId="0" fontId="25" fillId="0" borderId="0" xfId="0" applyFont="1"/>
    <xf numFmtId="187" fontId="25" fillId="0" borderId="0" xfId="2" applyNumberFormat="1" applyFont="1"/>
    <xf numFmtId="0" fontId="26" fillId="0" borderId="0" xfId="0" applyFont="1"/>
    <xf numFmtId="43" fontId="26" fillId="0" borderId="0" xfId="2" applyFont="1"/>
    <xf numFmtId="0" fontId="27" fillId="0" borderId="0" xfId="0" applyFont="1"/>
    <xf numFmtId="0" fontId="28" fillId="0" borderId="0" xfId="0" applyFont="1"/>
    <xf numFmtId="43" fontId="22" fillId="0" borderId="0" xfId="2" applyFont="1" applyAlignment="1">
      <alignment horizontal="right"/>
    </xf>
    <xf numFmtId="43" fontId="22" fillId="0" borderId="13" xfId="2" applyFont="1" applyBorder="1" applyAlignment="1">
      <alignment horizontal="right"/>
    </xf>
    <xf numFmtId="43" fontId="22" fillId="0" borderId="0" xfId="2" applyFont="1" applyBorder="1" applyAlignment="1">
      <alignment horizontal="right"/>
    </xf>
    <xf numFmtId="43" fontId="22" fillId="0" borderId="13" xfId="2" applyFont="1" applyBorder="1"/>
    <xf numFmtId="43" fontId="29" fillId="0" borderId="0" xfId="2" applyFont="1" applyBorder="1"/>
    <xf numFmtId="43" fontId="22" fillId="0" borderId="0" xfId="2" applyFont="1" applyBorder="1"/>
    <xf numFmtId="187" fontId="25" fillId="0" borderId="0" xfId="2" applyNumberFormat="1" applyFont="1" applyBorder="1"/>
    <xf numFmtId="187" fontId="22" fillId="0" borderId="0" xfId="2" applyNumberFormat="1" applyFont="1" applyBorder="1" applyAlignment="1">
      <alignment horizontal="right"/>
    </xf>
    <xf numFmtId="4" fontId="25" fillId="0" borderId="0" xfId="0" applyNumberFormat="1" applyFont="1"/>
    <xf numFmtId="187" fontId="25" fillId="0" borderId="14" xfId="2" applyNumberFormat="1" applyFont="1" applyBorder="1"/>
    <xf numFmtId="187" fontId="25" fillId="0" borderId="15" xfId="2" applyNumberFormat="1" applyFont="1" applyBorder="1"/>
    <xf numFmtId="4" fontId="22" fillId="0" borderId="0" xfId="0" applyNumberFormat="1" applyFont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3" fontId="31" fillId="3" borderId="5" xfId="1" applyFont="1" applyFill="1" applyBorder="1"/>
    <xf numFmtId="187" fontId="7" fillId="0" borderId="5" xfId="0" applyNumberFormat="1" applyFont="1" applyBorder="1"/>
    <xf numFmtId="187" fontId="4" fillId="4" borderId="21" xfId="0" applyNumberFormat="1" applyFont="1" applyFill="1" applyBorder="1" applyAlignment="1">
      <alignment horizontal="right"/>
    </xf>
    <xf numFmtId="187" fontId="4" fillId="4" borderId="21" xfId="0" applyNumberFormat="1" applyFont="1" applyFill="1" applyBorder="1"/>
    <xf numFmtId="187" fontId="30" fillId="4" borderId="21" xfId="0" applyNumberFormat="1" applyFont="1" applyFill="1" applyBorder="1"/>
    <xf numFmtId="187" fontId="4" fillId="8" borderId="21" xfId="0" applyNumberFormat="1" applyFont="1" applyFill="1" applyBorder="1" applyAlignment="1">
      <alignment horizontal="left"/>
    </xf>
    <xf numFmtId="187" fontId="4" fillId="8" borderId="21" xfId="0" applyNumberFormat="1" applyFont="1" applyFill="1" applyBorder="1"/>
    <xf numFmtId="187" fontId="30" fillId="8" borderId="21" xfId="0" applyNumberFormat="1" applyFont="1" applyFill="1" applyBorder="1"/>
    <xf numFmtId="187" fontId="7" fillId="0" borderId="6" xfId="0" applyNumberFormat="1" applyFont="1" applyFill="1" applyBorder="1" applyAlignment="1"/>
    <xf numFmtId="187" fontId="32" fillId="3" borderId="6" xfId="0" applyNumberFormat="1" applyFont="1" applyFill="1" applyBorder="1"/>
    <xf numFmtId="187" fontId="7" fillId="4" borderId="6" xfId="0" applyNumberFormat="1" applyFont="1" applyFill="1" applyBorder="1"/>
    <xf numFmtId="187" fontId="5" fillId="3" borderId="6" xfId="0" applyNumberFormat="1" applyFont="1" applyFill="1" applyBorder="1"/>
    <xf numFmtId="187" fontId="4" fillId="2" borderId="6" xfId="0" applyNumberFormat="1" applyFont="1" applyFill="1" applyBorder="1"/>
    <xf numFmtId="187" fontId="30" fillId="3" borderId="6" xfId="0" applyNumberFormat="1" applyFont="1" applyFill="1" applyBorder="1"/>
    <xf numFmtId="187" fontId="4" fillId="3" borderId="6" xfId="0" applyNumberFormat="1" applyFont="1" applyFill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3" fontId="22" fillId="0" borderId="0" xfId="1" applyFont="1"/>
    <xf numFmtId="43" fontId="16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3" fontId="1" fillId="0" borderId="0" xfId="1" applyFont="1"/>
    <xf numFmtId="0" fontId="10" fillId="0" borderId="0" xfId="0" applyFont="1" applyBorder="1" applyAlignment="1">
      <alignment horizontal="center"/>
    </xf>
    <xf numFmtId="187" fontId="22" fillId="0" borderId="0" xfId="1" applyNumberFormat="1" applyFont="1"/>
    <xf numFmtId="0" fontId="10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187" fontId="13" fillId="3" borderId="16" xfId="0" applyNumberFormat="1" applyFont="1" applyFill="1" applyBorder="1" applyAlignment="1">
      <alignment horizontal="left"/>
    </xf>
    <xf numFmtId="187" fontId="13" fillId="3" borderId="7" xfId="0" applyNumberFormat="1" applyFont="1" applyFill="1" applyBorder="1" applyAlignment="1">
      <alignment horizontal="left"/>
    </xf>
    <xf numFmtId="187" fontId="13" fillId="3" borderId="17" xfId="0" applyNumberFormat="1" applyFont="1" applyFill="1" applyBorder="1" applyAlignment="1">
      <alignment horizontal="left"/>
    </xf>
    <xf numFmtId="187" fontId="15" fillId="3" borderId="6" xfId="0" applyNumberFormat="1" applyFont="1" applyFill="1" applyBorder="1" applyAlignment="1">
      <alignment horizontal="center"/>
    </xf>
    <xf numFmtId="187" fontId="4" fillId="3" borderId="6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87" fontId="13" fillId="3" borderId="18" xfId="0" applyNumberFormat="1" applyFont="1" applyFill="1" applyBorder="1" applyAlignment="1">
      <alignment horizontal="left"/>
    </xf>
    <xf numFmtId="187" fontId="13" fillId="3" borderId="19" xfId="0" applyNumberFormat="1" applyFont="1" applyFill="1" applyBorder="1" applyAlignment="1">
      <alignment horizontal="left"/>
    </xf>
    <xf numFmtId="187" fontId="13" fillId="3" borderId="20" xfId="0" applyNumberFormat="1" applyFont="1" applyFill="1" applyBorder="1" applyAlignment="1">
      <alignment horizontal="left"/>
    </xf>
    <xf numFmtId="187" fontId="13" fillId="3" borderId="22" xfId="0" applyNumberFormat="1" applyFont="1" applyFill="1" applyBorder="1" applyAlignment="1">
      <alignment horizontal="left"/>
    </xf>
    <xf numFmtId="187" fontId="13" fillId="3" borderId="23" xfId="0" applyNumberFormat="1" applyFont="1" applyFill="1" applyBorder="1" applyAlignment="1">
      <alignment horizontal="left"/>
    </xf>
    <xf numFmtId="187" fontId="13" fillId="3" borderId="24" xfId="0" applyNumberFormat="1" applyFont="1" applyFill="1" applyBorder="1" applyAlignment="1">
      <alignment horizontal="left"/>
    </xf>
    <xf numFmtId="187" fontId="15" fillId="3" borderId="21" xfId="0" applyNumberFormat="1" applyFont="1" applyFill="1" applyBorder="1" applyAlignment="1">
      <alignment horizontal="center"/>
    </xf>
    <xf numFmtId="187" fontId="4" fillId="3" borderId="21" xfId="0" applyNumberFormat="1" applyFont="1" applyFill="1" applyBorder="1" applyAlignment="1">
      <alignment horizontal="center"/>
    </xf>
  </cellXfs>
  <cellStyles count="3">
    <cellStyle name="เครื่องหมายจุลภาค" xfId="1" builtinId="3"/>
    <cellStyle name="เครื่องหมายจุลภาค 2" xfId="2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122</xdr:row>
      <xdr:rowOff>9525</xdr:rowOff>
    </xdr:from>
    <xdr:to>
      <xdr:col>0</xdr:col>
      <xdr:colOff>2190750</xdr:colOff>
      <xdr:row>124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11</xdr:row>
      <xdr:rowOff>123825</xdr:rowOff>
    </xdr:from>
    <xdr:to>
      <xdr:col>14</xdr:col>
      <xdr:colOff>533400</xdr:colOff>
      <xdr:row>12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17</xdr:row>
      <xdr:rowOff>142875</xdr:rowOff>
    </xdr:from>
    <xdr:to>
      <xdr:col>14</xdr:col>
      <xdr:colOff>723900</xdr:colOff>
      <xdr:row>18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17</xdr:row>
      <xdr:rowOff>123825</xdr:rowOff>
    </xdr:from>
    <xdr:to>
      <xdr:col>14</xdr:col>
      <xdr:colOff>533400</xdr:colOff>
      <xdr:row>18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114</xdr:row>
      <xdr:rowOff>9525</xdr:rowOff>
    </xdr:from>
    <xdr:to>
      <xdr:col>0</xdr:col>
      <xdr:colOff>2190750</xdr:colOff>
      <xdr:row>116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11</xdr:row>
      <xdr:rowOff>123825</xdr:rowOff>
    </xdr:from>
    <xdr:to>
      <xdr:col>14</xdr:col>
      <xdr:colOff>533400</xdr:colOff>
      <xdr:row>12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17</xdr:row>
      <xdr:rowOff>142875</xdr:rowOff>
    </xdr:from>
    <xdr:to>
      <xdr:col>14</xdr:col>
      <xdr:colOff>723900</xdr:colOff>
      <xdr:row>18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17</xdr:row>
      <xdr:rowOff>123825</xdr:rowOff>
    </xdr:from>
    <xdr:to>
      <xdr:col>14</xdr:col>
      <xdr:colOff>533400</xdr:colOff>
      <xdr:row>18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113</xdr:row>
      <xdr:rowOff>9525</xdr:rowOff>
    </xdr:from>
    <xdr:to>
      <xdr:col>0</xdr:col>
      <xdr:colOff>2190750</xdr:colOff>
      <xdr:row>115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113</xdr:row>
      <xdr:rowOff>9525</xdr:rowOff>
    </xdr:from>
    <xdr:to>
      <xdr:col>0</xdr:col>
      <xdr:colOff>2190750</xdr:colOff>
      <xdr:row>115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113</xdr:row>
      <xdr:rowOff>9525</xdr:rowOff>
    </xdr:from>
    <xdr:to>
      <xdr:col>0</xdr:col>
      <xdr:colOff>2190750</xdr:colOff>
      <xdr:row>115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113</xdr:row>
      <xdr:rowOff>9525</xdr:rowOff>
    </xdr:from>
    <xdr:to>
      <xdr:col>0</xdr:col>
      <xdr:colOff>2190750</xdr:colOff>
      <xdr:row>115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113</xdr:row>
      <xdr:rowOff>9525</xdr:rowOff>
    </xdr:from>
    <xdr:to>
      <xdr:col>0</xdr:col>
      <xdr:colOff>2190750</xdr:colOff>
      <xdr:row>115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869757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14</xdr:row>
      <xdr:rowOff>123825</xdr:rowOff>
    </xdr:from>
    <xdr:to>
      <xdr:col>11</xdr:col>
      <xdr:colOff>0</xdr:colOff>
      <xdr:row>15</xdr:row>
      <xdr:rowOff>133599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449050" y="4610100"/>
          <a:ext cx="0" cy="305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133350</xdr:rowOff>
    </xdr:from>
    <xdr:to>
      <xdr:col>11</xdr:col>
      <xdr:colOff>0</xdr:colOff>
      <xdr:row>16</xdr:row>
      <xdr:rowOff>162256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49050" y="4914900"/>
          <a:ext cx="0" cy="3241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123825</xdr:rowOff>
    </xdr:from>
    <xdr:to>
      <xdr:col>11</xdr:col>
      <xdr:colOff>0</xdr:colOff>
      <xdr:row>16</xdr:row>
      <xdr:rowOff>133599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449050" y="4905375"/>
          <a:ext cx="0" cy="305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16</xdr:row>
      <xdr:rowOff>133350</xdr:rowOff>
    </xdr:from>
    <xdr:to>
      <xdr:col>11</xdr:col>
      <xdr:colOff>0</xdr:colOff>
      <xdr:row>17</xdr:row>
      <xdr:rowOff>172112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449050" y="5210175"/>
          <a:ext cx="0" cy="3340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449050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2105025</xdr:colOff>
      <xdr:row>113</xdr:row>
      <xdr:rowOff>9525</xdr:rowOff>
    </xdr:from>
    <xdr:to>
      <xdr:col>0</xdr:col>
      <xdr:colOff>2133600</xdr:colOff>
      <xdr:row>115</xdr:row>
      <xdr:rowOff>142875</xdr:rowOff>
    </xdr:to>
    <xdr:sp macro="" textlink="">
      <xdr:nvSpPr>
        <xdr:cNvPr id="4159" name="AutoShape 13"/>
        <xdr:cNvSpPr>
          <a:spLocks/>
        </xdr:cNvSpPr>
      </xdr:nvSpPr>
      <xdr:spPr bwMode="auto">
        <a:xfrm>
          <a:off x="2105025" y="18697575"/>
          <a:ext cx="28575" cy="457200"/>
        </a:xfrm>
        <a:prstGeom prst="rightBrace">
          <a:avLst>
            <a:gd name="adj1" fmla="val -2095106593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449050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449050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449050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449050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449050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14</xdr:row>
      <xdr:rowOff>123825</xdr:rowOff>
    </xdr:from>
    <xdr:to>
      <xdr:col>11</xdr:col>
      <xdr:colOff>0</xdr:colOff>
      <xdr:row>15</xdr:row>
      <xdr:rowOff>133599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449050" y="4610100"/>
          <a:ext cx="0" cy="305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133350</xdr:rowOff>
    </xdr:from>
    <xdr:to>
      <xdr:col>11</xdr:col>
      <xdr:colOff>0</xdr:colOff>
      <xdr:row>16</xdr:row>
      <xdr:rowOff>162256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449050" y="4914900"/>
          <a:ext cx="0" cy="3241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123825</xdr:rowOff>
    </xdr:from>
    <xdr:to>
      <xdr:col>11</xdr:col>
      <xdr:colOff>0</xdr:colOff>
      <xdr:row>16</xdr:row>
      <xdr:rowOff>133599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449050" y="4905375"/>
          <a:ext cx="0" cy="3050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16</xdr:row>
      <xdr:rowOff>133350</xdr:rowOff>
    </xdr:from>
    <xdr:to>
      <xdr:col>11</xdr:col>
      <xdr:colOff>0</xdr:colOff>
      <xdr:row>17</xdr:row>
      <xdr:rowOff>172112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449050" y="5210175"/>
          <a:ext cx="0" cy="3340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449050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449050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757660" y="345757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757660" y="343852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757660" y="405193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757660" y="434911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757660" y="433006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757660" y="464629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14</xdr:row>
      <xdr:rowOff>123825</xdr:rowOff>
    </xdr:from>
    <xdr:to>
      <xdr:col>11</xdr:col>
      <xdr:colOff>0</xdr:colOff>
      <xdr:row>15</xdr:row>
      <xdr:rowOff>133599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757660" y="462724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133350</xdr:rowOff>
    </xdr:from>
    <xdr:to>
      <xdr:col>11</xdr:col>
      <xdr:colOff>0</xdr:colOff>
      <xdr:row>16</xdr:row>
      <xdr:rowOff>162256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757660" y="494347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123825</xdr:rowOff>
    </xdr:from>
    <xdr:to>
      <xdr:col>11</xdr:col>
      <xdr:colOff>0</xdr:colOff>
      <xdr:row>16</xdr:row>
      <xdr:rowOff>133599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757660" y="492442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16</xdr:row>
      <xdr:rowOff>133350</xdr:rowOff>
    </xdr:from>
    <xdr:to>
      <xdr:col>11</xdr:col>
      <xdr:colOff>0</xdr:colOff>
      <xdr:row>17</xdr:row>
      <xdr:rowOff>172112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757660" y="524065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757660" y="522160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757660" y="345757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2105025</xdr:colOff>
      <xdr:row>113</xdr:row>
      <xdr:rowOff>9525</xdr:rowOff>
    </xdr:from>
    <xdr:to>
      <xdr:col>0</xdr:col>
      <xdr:colOff>2133600</xdr:colOff>
      <xdr:row>115</xdr:row>
      <xdr:rowOff>142875</xdr:rowOff>
    </xdr:to>
    <xdr:sp macro="" textlink="">
      <xdr:nvSpPr>
        <xdr:cNvPr id="1287" name="AutoShape 13"/>
        <xdr:cNvSpPr>
          <a:spLocks/>
        </xdr:cNvSpPr>
      </xdr:nvSpPr>
      <xdr:spPr bwMode="auto">
        <a:xfrm>
          <a:off x="2105025" y="18697575"/>
          <a:ext cx="28575" cy="457200"/>
        </a:xfrm>
        <a:prstGeom prst="rightBrace">
          <a:avLst>
            <a:gd name="adj1" fmla="val -2095106593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757660" y="343852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757660" y="405193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757660" y="434911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757660" y="433006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757660" y="464629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14</xdr:row>
      <xdr:rowOff>123825</xdr:rowOff>
    </xdr:from>
    <xdr:to>
      <xdr:col>11</xdr:col>
      <xdr:colOff>0</xdr:colOff>
      <xdr:row>15</xdr:row>
      <xdr:rowOff>133599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757660" y="462724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133350</xdr:rowOff>
    </xdr:from>
    <xdr:to>
      <xdr:col>11</xdr:col>
      <xdr:colOff>0</xdr:colOff>
      <xdr:row>16</xdr:row>
      <xdr:rowOff>162256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757660" y="494347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15</xdr:row>
      <xdr:rowOff>123825</xdr:rowOff>
    </xdr:from>
    <xdr:to>
      <xdr:col>11</xdr:col>
      <xdr:colOff>0</xdr:colOff>
      <xdr:row>16</xdr:row>
      <xdr:rowOff>133599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757660" y="492442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11</xdr:col>
      <xdr:colOff>0</xdr:colOff>
      <xdr:row>16</xdr:row>
      <xdr:rowOff>133350</xdr:rowOff>
    </xdr:from>
    <xdr:to>
      <xdr:col>11</xdr:col>
      <xdr:colOff>0</xdr:colOff>
      <xdr:row>17</xdr:row>
      <xdr:rowOff>172112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757660" y="524065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757660" y="522160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757660" y="375475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757660" y="3754755"/>
          <a:ext cx="0" cy="3162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10</xdr:row>
      <xdr:rowOff>142875</xdr:rowOff>
    </xdr:from>
    <xdr:to>
      <xdr:col>14</xdr:col>
      <xdr:colOff>723900</xdr:colOff>
      <xdr:row>11</xdr:row>
      <xdr:rowOff>161925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72875" y="34480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0</xdr:col>
      <xdr:colOff>2162175</xdr:colOff>
      <xdr:row>117</xdr:row>
      <xdr:rowOff>9525</xdr:rowOff>
    </xdr:from>
    <xdr:to>
      <xdr:col>0</xdr:col>
      <xdr:colOff>2190750</xdr:colOff>
      <xdr:row>119</xdr:row>
      <xdr:rowOff>142875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2162175" y="17573625"/>
          <a:ext cx="0" cy="457200"/>
        </a:xfrm>
        <a:prstGeom prst="rightBrace">
          <a:avLst>
            <a:gd name="adj1" fmla="val -2147483648"/>
            <a:gd name="adj2" fmla="val 833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504825</xdr:colOff>
      <xdr:row>10</xdr:row>
      <xdr:rowOff>123825</xdr:rowOff>
    </xdr:from>
    <xdr:to>
      <xdr:col>14</xdr:col>
      <xdr:colOff>533400</xdr:colOff>
      <xdr:row>11</xdr:row>
      <xdr:rowOff>142875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1572875" y="34290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72</a:t>
          </a:r>
        </a:p>
      </xdr:txBody>
    </xdr:sp>
    <xdr:clientData/>
  </xdr:twoCellAnchor>
  <xdr:twoCellAnchor>
    <xdr:from>
      <xdr:col>14</xdr:col>
      <xdr:colOff>695325</xdr:colOff>
      <xdr:row>12</xdr:row>
      <xdr:rowOff>142875</xdr:rowOff>
    </xdr:from>
    <xdr:to>
      <xdr:col>14</xdr:col>
      <xdr:colOff>723900</xdr:colOff>
      <xdr:row>13</xdr:row>
      <xdr:rowOff>161925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1572875" y="40386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13</xdr:row>
      <xdr:rowOff>142875</xdr:rowOff>
    </xdr:from>
    <xdr:to>
      <xdr:col>14</xdr:col>
      <xdr:colOff>723900</xdr:colOff>
      <xdr:row>14</xdr:row>
      <xdr:rowOff>161925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1572875" y="43338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13</xdr:row>
      <xdr:rowOff>123825</xdr:rowOff>
    </xdr:from>
    <xdr:to>
      <xdr:col>14</xdr:col>
      <xdr:colOff>533400</xdr:colOff>
      <xdr:row>14</xdr:row>
      <xdr:rowOff>142875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1572875" y="43148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14</xdr:row>
      <xdr:rowOff>142875</xdr:rowOff>
    </xdr:from>
    <xdr:to>
      <xdr:col>14</xdr:col>
      <xdr:colOff>723900</xdr:colOff>
      <xdr:row>15</xdr:row>
      <xdr:rowOff>161925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1572875" y="46291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14</xdr:row>
      <xdr:rowOff>123825</xdr:rowOff>
    </xdr:from>
    <xdr:to>
      <xdr:col>14</xdr:col>
      <xdr:colOff>533400</xdr:colOff>
      <xdr:row>15</xdr:row>
      <xdr:rowOff>142875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1572875" y="46101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15</xdr:row>
      <xdr:rowOff>142875</xdr:rowOff>
    </xdr:from>
    <xdr:to>
      <xdr:col>14</xdr:col>
      <xdr:colOff>723900</xdr:colOff>
      <xdr:row>16</xdr:row>
      <xdr:rowOff>161925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1572875" y="49244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15</xdr:row>
      <xdr:rowOff>123825</xdr:rowOff>
    </xdr:from>
    <xdr:to>
      <xdr:col>14</xdr:col>
      <xdr:colOff>533400</xdr:colOff>
      <xdr:row>16</xdr:row>
      <xdr:rowOff>142875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1572875" y="490537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16</xdr:row>
      <xdr:rowOff>142875</xdr:rowOff>
    </xdr:from>
    <xdr:to>
      <xdr:col>14</xdr:col>
      <xdr:colOff>723900</xdr:colOff>
      <xdr:row>17</xdr:row>
      <xdr:rowOff>161925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1572875" y="521970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504825</xdr:colOff>
      <xdr:row>16</xdr:row>
      <xdr:rowOff>123825</xdr:rowOff>
    </xdr:from>
    <xdr:to>
      <xdr:col>14</xdr:col>
      <xdr:colOff>533400</xdr:colOff>
      <xdr:row>17</xdr:row>
      <xdr:rowOff>142875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1572875" y="5200650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  <xdr:twoCellAnchor>
    <xdr:from>
      <xdr:col>14</xdr:col>
      <xdr:colOff>695325</xdr:colOff>
      <xdr:row>11</xdr:row>
      <xdr:rowOff>142875</xdr:rowOff>
    </xdr:from>
    <xdr:to>
      <xdr:col>14</xdr:col>
      <xdr:colOff>723900</xdr:colOff>
      <xdr:row>12</xdr:row>
      <xdr:rowOff>161925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11572875" y="3743325"/>
          <a:ext cx="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1">
            <a:defRPr sz="1000"/>
          </a:pPr>
          <a:r>
            <a:rPr lang="th-TH" sz="1600" b="0" i="0" strike="noStrike">
              <a:solidFill>
                <a:srgbClr val="000000"/>
              </a:solidFill>
              <a:latin typeface="Angsana New"/>
              <a:cs typeface="Angsana New"/>
            </a:rPr>
            <a:t>71.92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U49"/>
  <sheetViews>
    <sheetView tabSelected="1" zoomScaleSheetLayoutView="75" workbookViewId="0">
      <selection activeCell="G42" sqref="G42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351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352</v>
      </c>
      <c r="C3" s="149"/>
      <c r="D3" s="149"/>
      <c r="E3" s="149"/>
      <c r="F3" s="149"/>
      <c r="G3" s="149"/>
      <c r="H3" s="149"/>
      <c r="J3" s="150">
        <f>SUM(J4:J7)</f>
        <v>2668.41</v>
      </c>
      <c r="K3" s="150"/>
      <c r="L3" s="149" t="s">
        <v>90</v>
      </c>
    </row>
    <row r="4" spans="1:21">
      <c r="C4" s="146" t="s">
        <v>91</v>
      </c>
      <c r="J4" s="151">
        <v>0.16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2091.98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2092.14</v>
      </c>
    </row>
    <row r="6" spans="1:21">
      <c r="C6" s="146" t="s">
        <v>93</v>
      </c>
      <c r="J6" s="151">
        <v>570.4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5.87</v>
      </c>
      <c r="K7" s="151"/>
      <c r="L7" s="146" t="s">
        <v>90</v>
      </c>
      <c r="N7" s="147" t="s">
        <v>95</v>
      </c>
      <c r="P7" s="152">
        <f>SUM(J6:J7)</f>
        <v>576.27</v>
      </c>
      <c r="Q7" s="153"/>
      <c r="S7" s="173">
        <f>+J4+J6+J7</f>
        <v>576.42999999999995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2668.41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3659.89</v>
      </c>
      <c r="K10" s="157"/>
      <c r="L10" s="156" t="s">
        <v>90</v>
      </c>
      <c r="T10" s="153">
        <f>+J11-T5</f>
        <v>991.48</v>
      </c>
    </row>
    <row r="11" spans="1:21">
      <c r="D11" s="146" t="s">
        <v>98</v>
      </c>
      <c r="J11" s="151">
        <f>+I29</f>
        <v>3083.62</v>
      </c>
      <c r="K11" s="151"/>
      <c r="L11" s="146" t="s">
        <v>90</v>
      </c>
    </row>
    <row r="12" spans="1:21">
      <c r="D12" s="146" t="s">
        <v>99</v>
      </c>
      <c r="J12" s="151">
        <f>+I43</f>
        <v>576.27</v>
      </c>
      <c r="K12" s="151"/>
      <c r="L12" s="146" t="s">
        <v>90</v>
      </c>
      <c r="N12" s="147">
        <f>79.47+71.91+5.93-2.01</f>
        <v>155.30000000000001</v>
      </c>
      <c r="S12" s="173">
        <f>+J12+J15</f>
        <v>576.3599999999999</v>
      </c>
      <c r="T12" s="153">
        <f>+J6+J7</f>
        <v>576.27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-991.48</v>
      </c>
      <c r="K13" s="157"/>
      <c r="L13" s="156" t="s">
        <v>90</v>
      </c>
      <c r="N13" s="159">
        <f>+J14+J11</f>
        <v>2092.0500000000002</v>
      </c>
    </row>
    <row r="14" spans="1:21">
      <c r="D14" s="146" t="s">
        <v>98</v>
      </c>
      <c r="J14" s="151">
        <f>+J5-I29+0.04+0.03</f>
        <v>-991.56999999999994</v>
      </c>
      <c r="K14" s="151"/>
      <c r="L14" s="146" t="s">
        <v>90</v>
      </c>
      <c r="N14" s="147">
        <f>+J15+J12</f>
        <v>576.3599999999999</v>
      </c>
    </row>
    <row r="15" spans="1:21">
      <c r="D15" s="146" t="s">
        <v>99</v>
      </c>
      <c r="J15" s="211">
        <f>+J4+J6+J7-J12-0.07</f>
        <v>8.9999999999968161E-2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353</v>
      </c>
      <c r="J18" s="157">
        <f>+J3</f>
        <v>2668.41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211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0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0.18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0.49</v>
      </c>
      <c r="I26" s="157"/>
    </row>
    <row r="27" spans="2:21">
      <c r="D27" s="156" t="s">
        <v>364</v>
      </c>
      <c r="G27" s="164">
        <f>3600-2.39-29.09-491.41-0.01</f>
        <v>3077.1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6.43+0.01-0.41</f>
        <v>6.0299999999999994</v>
      </c>
      <c r="H29" s="165">
        <f>SUM(G27:G29)</f>
        <v>3083.13</v>
      </c>
      <c r="I29" s="157">
        <f>+H26+H29</f>
        <v>3083.62</v>
      </c>
      <c r="U29" s="152">
        <f>+G29-9.09</f>
        <v>-3.0600000000000005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105</v>
      </c>
      <c r="G31" s="162"/>
      <c r="H31" s="166"/>
      <c r="I31" s="157"/>
    </row>
    <row r="32" spans="2:21" ht="21.75" customHeight="1">
      <c r="D32" s="146" t="s">
        <v>116</v>
      </c>
      <c r="G32" s="163">
        <v>0.28000000000000003</v>
      </c>
      <c r="H32" s="167">
        <f>+G32</f>
        <v>0.28000000000000003</v>
      </c>
      <c r="I32" s="157"/>
    </row>
    <row r="33" spans="3:12" ht="21.75" customHeight="1">
      <c r="D33" s="156" t="s">
        <v>112</v>
      </c>
      <c r="G33" s="162"/>
      <c r="H33" s="166"/>
      <c r="I33" s="157"/>
    </row>
    <row r="34" spans="3:12" ht="21.75" customHeight="1">
      <c r="D34" s="146" t="s">
        <v>116</v>
      </c>
      <c r="G34" s="163">
        <v>1.69</v>
      </c>
      <c r="H34" s="167">
        <f>+G34</f>
        <v>1.69</v>
      </c>
      <c r="I34" s="157"/>
      <c r="J34" s="152"/>
    </row>
    <row r="35" spans="3:12" ht="21.75" customHeight="1">
      <c r="D35" s="156" t="s">
        <v>211</v>
      </c>
      <c r="G35" s="162"/>
      <c r="H35" s="166"/>
      <c r="I35" s="157"/>
    </row>
    <row r="36" spans="3:12">
      <c r="D36" s="146" t="s">
        <v>106</v>
      </c>
      <c r="G36" s="162">
        <f>54.35-14.62</f>
        <v>39.730000000000004</v>
      </c>
      <c r="H36" s="147"/>
      <c r="I36" s="157"/>
    </row>
    <row r="37" spans="3:12">
      <c r="D37" s="146" t="s">
        <v>115</v>
      </c>
      <c r="G37" s="162">
        <f>14.76-1.7</f>
        <v>13.06</v>
      </c>
      <c r="H37" s="147"/>
      <c r="I37" s="157"/>
    </row>
    <row r="38" spans="3:12">
      <c r="D38" s="146" t="s">
        <v>116</v>
      </c>
      <c r="G38" s="163">
        <f>0.76-0.05+0.01-0.06</f>
        <v>0.65999999999999992</v>
      </c>
      <c r="H38" s="147">
        <f>SUM(G36:G38)</f>
        <v>53.45</v>
      </c>
      <c r="I38" s="157"/>
    </row>
    <row r="39" spans="3:12">
      <c r="D39" s="156" t="s">
        <v>364</v>
      </c>
      <c r="G39" s="169"/>
      <c r="H39" s="167"/>
      <c r="I39" s="168"/>
      <c r="L39" s="156"/>
    </row>
    <row r="40" spans="3:12">
      <c r="D40" s="146" t="s">
        <v>106</v>
      </c>
      <c r="G40" s="164">
        <v>2.39</v>
      </c>
      <c r="H40" s="167"/>
      <c r="I40" s="168"/>
      <c r="L40" s="156"/>
    </row>
    <row r="41" spans="3:12">
      <c r="D41" s="146" t="s">
        <v>115</v>
      </c>
      <c r="G41" s="164">
        <v>491.41</v>
      </c>
      <c r="H41" s="167"/>
      <c r="I41" s="168"/>
      <c r="L41" s="156"/>
    </row>
    <row r="42" spans="3:12">
      <c r="D42" s="146" t="s">
        <v>116</v>
      </c>
      <c r="G42" s="163">
        <f>22.66+0.01-1.9+0.4+0.01</f>
        <v>21.180000000000003</v>
      </c>
      <c r="H42" s="167">
        <f>SUM(G40:G42)</f>
        <v>514.98</v>
      </c>
      <c r="I42" s="168"/>
      <c r="L42" s="156"/>
    </row>
    <row r="43" spans="3:12">
      <c r="D43" s="146" t="s">
        <v>110</v>
      </c>
      <c r="G43" s="163">
        <f>5.52+0.01+0.39-0.05</f>
        <v>5.8699999999999992</v>
      </c>
      <c r="H43" s="165">
        <f>+G43</f>
        <v>5.8699999999999992</v>
      </c>
      <c r="I43" s="168">
        <f>+H32+H34+H38+H42+H43</f>
        <v>576.27</v>
      </c>
      <c r="J43" s="170">
        <f>+I29+I43</f>
        <v>3659.89</v>
      </c>
      <c r="L43" s="156"/>
    </row>
    <row r="44" spans="3:12" ht="21.75" thickBot="1">
      <c r="C44" s="156" t="s">
        <v>354</v>
      </c>
      <c r="I44" s="171"/>
      <c r="J44" s="172">
        <f>+J18-J43</f>
        <v>-991.48</v>
      </c>
      <c r="K44" s="168"/>
      <c r="L44" s="156" t="s">
        <v>90</v>
      </c>
    </row>
    <row r="45" spans="3:12" ht="21.75" thickTop="1"/>
    <row r="46" spans="3:12">
      <c r="C46" s="156"/>
      <c r="H46" s="173"/>
    </row>
    <row r="48" spans="3:12" hidden="1">
      <c r="G48" s="152" t="e">
        <f>+#REF!+G43</f>
        <v>#REF!</v>
      </c>
    </row>
    <row r="49" spans="7:7" hidden="1">
      <c r="G49" s="152" t="e">
        <f>+J7-G48</f>
        <v>#REF!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10 พ.ย. 2558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X113"/>
  <sheetViews>
    <sheetView view="pageBreakPreview" zoomScale="90" zoomScaleNormal="90" zoomScaleSheetLayoutView="100" workbookViewId="0">
      <pane xSplit="1" ySplit="3" topLeftCell="B70" activePane="bottomRight" state="frozenSplit"/>
      <selection pane="topRight" activeCell="B1" sqref="B1"/>
      <selection pane="bottomLeft" activeCell="B4" sqref="B4"/>
      <selection pane="bottomRight" activeCell="H71" sqref="H71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315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316</v>
      </c>
      <c r="E3" s="1" t="s">
        <v>5</v>
      </c>
      <c r="F3" s="2" t="s">
        <v>201</v>
      </c>
      <c r="G3" s="3" t="s">
        <v>198</v>
      </c>
      <c r="H3" s="5" t="s">
        <v>317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493.86</v>
      </c>
      <c r="H4" s="16">
        <f>SUM(H5:H8)</f>
        <v>12385.51</v>
      </c>
      <c r="I4" s="17">
        <f>SUM(I5:I8)</f>
        <v>3140</v>
      </c>
      <c r="J4" s="18">
        <f>SUM(J5:J8)</f>
        <v>660.86</v>
      </c>
      <c r="K4" s="19">
        <f>SUM(K5:K8)</f>
        <v>2479.14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456.11</v>
      </c>
      <c r="H5" s="27">
        <f>+F5+G5</f>
        <v>8901.01</v>
      </c>
      <c r="I5" s="28">
        <v>640</v>
      </c>
      <c r="J5" s="29">
        <f>593.85+5+1+9.97</f>
        <v>609.82000000000005</v>
      </c>
      <c r="K5" s="30">
        <f>+I5-J5</f>
        <v>30.17999999999995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37.75</v>
      </c>
      <c r="H6" s="27">
        <f>+F6+G6</f>
        <v>3199.9</v>
      </c>
      <c r="I6" s="33">
        <v>1950</v>
      </c>
      <c r="J6" s="34">
        <f>3.21+4.36+9.78+5.9+6.03+21.76</f>
        <v>51.040000000000006</v>
      </c>
      <c r="K6" s="35">
        <f>+I6-J6</f>
        <v>1898.96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30.68</v>
      </c>
      <c r="H9" s="16">
        <f>SUM(H10:H18)</f>
        <v>2809.4500000000003</v>
      </c>
      <c r="I9" s="17">
        <f>SUM(I15:I16)</f>
        <v>160</v>
      </c>
      <c r="J9" s="50">
        <f>SUM(J15:J16)</f>
        <v>44.18</v>
      </c>
      <c r="K9" s="51">
        <f>SUM(K15:K16)</f>
        <v>115.82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840.13000000000011</v>
      </c>
      <c r="D10" s="24">
        <f>SUM(O11:O17)</f>
        <v>10863.33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24.14</v>
      </c>
      <c r="D11" s="58">
        <f>+B11+C11</f>
        <v>729.44999999999993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729.44999999999993</v>
      </c>
    </row>
    <row r="12" spans="1:15" s="20" customFormat="1" ht="23.25">
      <c r="A12" s="21" t="s">
        <v>29</v>
      </c>
      <c r="B12" s="31">
        <v>730.91</v>
      </c>
      <c r="C12" s="32">
        <v>36.07</v>
      </c>
      <c r="D12" s="58">
        <f t="shared" ref="D12:D17" si="2">+B12+C12</f>
        <v>766.98</v>
      </c>
      <c r="E12" s="21" t="s">
        <v>30</v>
      </c>
      <c r="F12" s="31">
        <v>86.44</v>
      </c>
      <c r="G12" s="32">
        <v>2.79</v>
      </c>
      <c r="H12" s="27">
        <f t="shared" si="0"/>
        <v>89.23</v>
      </c>
      <c r="I12" s="33"/>
      <c r="J12" s="43">
        <v>0</v>
      </c>
      <c r="K12" s="44">
        <f>+I12-J12</f>
        <v>0</v>
      </c>
      <c r="L12" s="57"/>
      <c r="O12" s="59">
        <f t="shared" si="1"/>
        <v>766.98</v>
      </c>
    </row>
    <row r="13" spans="1:15" s="20" customFormat="1" ht="23.25">
      <c r="A13" s="21" t="s">
        <v>31</v>
      </c>
      <c r="B13" s="31">
        <v>269.3</v>
      </c>
      <c r="C13" s="32">
        <v>8.3800000000000008</v>
      </c>
      <c r="D13" s="58">
        <f t="shared" si="2"/>
        <v>277.68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277.68</v>
      </c>
    </row>
    <row r="14" spans="1:15" s="20" customFormat="1" ht="23.25">
      <c r="A14" s="21" t="s">
        <v>33</v>
      </c>
      <c r="B14" s="31">
        <v>6798</v>
      </c>
      <c r="C14" s="32">
        <v>635.97</v>
      </c>
      <c r="D14" s="58">
        <f t="shared" si="2"/>
        <v>7433.97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7433.97</v>
      </c>
    </row>
    <row r="15" spans="1:15" s="20" customFormat="1" ht="23.25">
      <c r="A15" s="21" t="s">
        <v>35</v>
      </c>
      <c r="B15" s="60">
        <v>87.09</v>
      </c>
      <c r="C15" s="32">
        <v>2.48</v>
      </c>
      <c r="D15" s="58">
        <f t="shared" si="2"/>
        <v>89.570000000000007</v>
      </c>
      <c r="E15" s="21" t="s">
        <v>36</v>
      </c>
      <c r="F15" s="31">
        <f>1042.74-0.05</f>
        <v>1042.69</v>
      </c>
      <c r="G15" s="32">
        <v>27.89</v>
      </c>
      <c r="H15" s="27">
        <f t="shared" si="0"/>
        <v>1070.5800000000002</v>
      </c>
      <c r="I15" s="33">
        <v>160</v>
      </c>
      <c r="J15" s="61">
        <f>36.42+6.97+0.31+2.03+0.01+0.03-1.84+0.25</f>
        <v>44.18</v>
      </c>
      <c r="K15" s="35">
        <f>+I15-J15-J16</f>
        <v>115.82</v>
      </c>
      <c r="L15" s="57"/>
      <c r="O15" s="59">
        <f t="shared" si="1"/>
        <v>89.570000000000007</v>
      </c>
    </row>
    <row r="16" spans="1:15" s="20" customFormat="1" ht="23.25">
      <c r="A16" s="21" t="s">
        <v>37</v>
      </c>
      <c r="B16" s="62">
        <v>490.18</v>
      </c>
      <c r="C16" s="32">
        <v>44.51</v>
      </c>
      <c r="D16" s="58">
        <f t="shared" si="2"/>
        <v>534.69000000000005</v>
      </c>
      <c r="E16" s="33"/>
      <c r="F16" s="31"/>
      <c r="G16" s="26"/>
      <c r="H16" s="27"/>
      <c r="I16" s="63"/>
      <c r="J16" s="64"/>
      <c r="K16" s="35"/>
      <c r="O16" s="59">
        <f t="shared" si="1"/>
        <v>534.69000000000005</v>
      </c>
    </row>
    <row r="17" spans="1:18" s="20" customFormat="1" ht="23.25">
      <c r="A17" s="21" t="s">
        <v>39</v>
      </c>
      <c r="B17" s="65">
        <v>942.41</v>
      </c>
      <c r="C17" s="32">
        <v>88.58</v>
      </c>
      <c r="D17" s="58">
        <f t="shared" si="2"/>
        <v>1030.99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1030.99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524.54</v>
      </c>
      <c r="H19" s="83">
        <f>+H4+H9</f>
        <v>15194.960000000001</v>
      </c>
      <c r="I19" s="19">
        <f>+I4+I9</f>
        <v>3300</v>
      </c>
      <c r="J19" s="84">
        <f>+J4+J9</f>
        <v>705.04</v>
      </c>
      <c r="K19" s="51">
        <f>+K4+K9</f>
        <v>2594.96</v>
      </c>
      <c r="M19" s="20">
        <f>F20+G20</f>
        <v>2741.6000000000004</v>
      </c>
      <c r="O19" s="85"/>
    </row>
    <row r="20" spans="1:18" s="20" customFormat="1" ht="23.25">
      <c r="A20" s="86"/>
      <c r="B20" s="74"/>
      <c r="C20" s="71"/>
      <c r="D20" s="80"/>
      <c r="E20" s="87" t="s">
        <v>323</v>
      </c>
      <c r="F20" s="88">
        <f>B22-F19</f>
        <v>2426.0100000000002</v>
      </c>
      <c r="G20" s="89">
        <f>C22-G19</f>
        <v>315.59000000000015</v>
      </c>
      <c r="H20" s="90">
        <f>+D22-H19</f>
        <v>2741.6000000000004</v>
      </c>
      <c r="I20" s="225" t="s">
        <v>325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324</v>
      </c>
      <c r="F21" s="95"/>
      <c r="G21" s="96"/>
      <c r="H21" s="97"/>
      <c r="I21" s="214" t="s">
        <v>326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-2741.6000000000004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840.13000000000011</v>
      </c>
      <c r="D22" s="100">
        <f>SUM(D4:D10)</f>
        <v>17936.560000000001</v>
      </c>
      <c r="E22" s="101" t="s">
        <v>46</v>
      </c>
      <c r="F22" s="102">
        <f>SUM(F19:F20)</f>
        <v>17096.43</v>
      </c>
      <c r="G22" s="103">
        <f>SUM(G19:G20)</f>
        <v>840.13000000000011</v>
      </c>
      <c r="H22" s="102">
        <f>+H19+H20</f>
        <v>17936.560000000001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6"/>
      <c r="K25" s="206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2741.6000000000004</v>
      </c>
      <c r="J26" s="111">
        <f>+F40</f>
        <v>190.26000000000008</v>
      </c>
      <c r="K26" s="112">
        <f>+I26-J26</f>
        <v>2551.34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5.66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1.7799999999999998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182.18000000000006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190.26000000000008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/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/>
      <c r="R63" s="105"/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/>
      <c r="R64" s="105"/>
    </row>
    <row r="65" spans="5:24" ht="18.75" customHeight="1" thickBot="1">
      <c r="E65" s="113"/>
      <c r="F65" t="s">
        <v>66</v>
      </c>
      <c r="G65" s="120">
        <f>4+0.01</f>
        <v>4.01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1.7799999999999998</v>
      </c>
      <c r="L65" s="114"/>
      <c r="R65" s="105"/>
      <c r="S65" s="105"/>
    </row>
    <row r="66" spans="5:24" ht="18.75" customHeight="1" thickBot="1">
      <c r="E66" s="113"/>
      <c r="G66" s="120"/>
      <c r="H66" s="114"/>
      <c r="I66" s="114"/>
      <c r="J66" s="114"/>
      <c r="K66" s="134">
        <f>SUM(K63:K65)</f>
        <v>1.7799999999999998</v>
      </c>
      <c r="L66" s="114"/>
    </row>
    <row r="67" spans="5:24" ht="18.75" customHeight="1">
      <c r="E67" s="121" t="s">
        <v>204</v>
      </c>
      <c r="F67" t="s">
        <v>63</v>
      </c>
      <c r="G67" s="120">
        <v>0</v>
      </c>
      <c r="H67" s="114">
        <f>593.85+5+1+9.97</f>
        <v>609.82000000000005</v>
      </c>
      <c r="I67" s="114">
        <f>152.53+136.34-0.01+166.25</f>
        <v>455.11</v>
      </c>
      <c r="J67" s="114">
        <f>0.26+0.03+7.6</f>
        <v>7.89</v>
      </c>
      <c r="K67" s="114">
        <f>+G67+H67-I67-J67</f>
        <v>146.82000000000005</v>
      </c>
      <c r="L67" s="114"/>
      <c r="Q67" s="205">
        <f>+H67+H68+H69</f>
        <v>705.04</v>
      </c>
      <c r="R67" s="105">
        <f>+I63+I67</f>
        <v>456.11</v>
      </c>
    </row>
    <row r="68" spans="5:24" ht="18.75" customHeight="1">
      <c r="E68" s="113"/>
      <c r="F68" t="s">
        <v>64</v>
      </c>
      <c r="G68" s="120">
        <v>0</v>
      </c>
      <c r="H68" s="114">
        <f>3.21+4.36+9.78+5.9+6.03+21.76</f>
        <v>51.040000000000006</v>
      </c>
      <c r="I68" s="114">
        <f>3.21+1.8+2.56+9.78+5.9+6.46</f>
        <v>29.71</v>
      </c>
      <c r="J68" s="114"/>
      <c r="K68" s="114">
        <f t="shared" ref="K68" si="6">+G68+H68-I68-J68</f>
        <v>21.330000000000005</v>
      </c>
      <c r="L68" s="114"/>
      <c r="Q68" s="125"/>
      <c r="R68" s="105">
        <f>+I59+I64+I68</f>
        <v>37.75</v>
      </c>
    </row>
    <row r="69" spans="5:24" ht="18.75" customHeight="1" thickBot="1">
      <c r="E69" s="113"/>
      <c r="F69" t="s">
        <v>66</v>
      </c>
      <c r="G69" s="120">
        <v>0</v>
      </c>
      <c r="H69" s="114">
        <f>36.42+6.97+0.31+2.03+0.01+0.03-1.84+0.25</f>
        <v>44.18</v>
      </c>
      <c r="I69" s="114">
        <f>8.57+2.64-0.02+1.96+3.7+3.4+0.34+2.96+3.05+0.83+2.68</f>
        <v>30.11</v>
      </c>
      <c r="J69" s="105">
        <f>0.01+0.01+0.02</f>
        <v>0.04</v>
      </c>
      <c r="K69" s="114">
        <f>+G69+H69-I69-J69</f>
        <v>14.030000000000001</v>
      </c>
      <c r="L69" s="114"/>
      <c r="R69" s="105">
        <f>+I65+I69+I71</f>
        <v>30.69</v>
      </c>
      <c r="S69" s="105"/>
    </row>
    <row r="70" spans="5:24" ht="18.75" customHeight="1" thickBot="1">
      <c r="E70" s="113"/>
      <c r="G70" s="120"/>
      <c r="H70" s="114"/>
      <c r="I70" s="114"/>
      <c r="J70" s="114"/>
      <c r="K70" s="134">
        <f>SUM(K67:K69)</f>
        <v>182.18000000000006</v>
      </c>
      <c r="L70" s="114"/>
      <c r="R70" s="105">
        <f>SUM(R67:R69)</f>
        <v>524.55000000000007</v>
      </c>
      <c r="T70" s="105">
        <f>+J44+J60+J61+J63+J65+J67+J69</f>
        <v>9.9899999999999984</v>
      </c>
    </row>
    <row r="71" spans="5:24" ht="18.75" customHeight="1">
      <c r="E71" s="113"/>
      <c r="F71" s="129" t="s">
        <v>50</v>
      </c>
      <c r="G71" s="120">
        <v>4.05</v>
      </c>
      <c r="H71" s="114">
        <f>1.39+0.18+0.14</f>
        <v>1.71</v>
      </c>
      <c r="I71" s="114">
        <f>0.07+0.01+0.02</f>
        <v>0.1</v>
      </c>
      <c r="J71"/>
      <c r="K71" s="114">
        <f>+G71+H71-I71</f>
        <v>5.66</v>
      </c>
      <c r="R71" s="105"/>
    </row>
    <row r="72" spans="5:24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/>
      <c r="V72" s="105">
        <f>+H67+H68+H69</f>
        <v>705.04</v>
      </c>
      <c r="W72" s="105">
        <f>SUM(I59:I71)</f>
        <v>524.54999999999995</v>
      </c>
      <c r="X72" s="105">
        <f>+J44+J60+J61+J63+J65+J67+J69</f>
        <v>9.9899999999999984</v>
      </c>
    </row>
    <row r="73" spans="5:24" ht="18.75" customHeight="1" thickBot="1">
      <c r="E73" s="121" t="s">
        <v>73</v>
      </c>
      <c r="H73" s="114"/>
      <c r="I73" s="114"/>
      <c r="J73"/>
      <c r="K73" s="131">
        <f>+K47+K52+K57+K62+K70+K71+K72+K66</f>
        <v>190.26000000000008</v>
      </c>
      <c r="M73" s="105">
        <f>+K52+K71+K72</f>
        <v>5.97</v>
      </c>
      <c r="R73" s="105"/>
    </row>
    <row r="74" spans="5:24" ht="18.75" customHeight="1">
      <c r="E74" s="121" t="s">
        <v>205</v>
      </c>
      <c r="H74" s="114"/>
      <c r="I74" s="114"/>
      <c r="J74"/>
      <c r="K74" s="135"/>
      <c r="M74" s="105"/>
      <c r="R74" s="105"/>
    </row>
    <row r="75" spans="5:24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/>
    </row>
    <row r="76" spans="5:24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/>
    </row>
    <row r="77" spans="5:24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24" ht="18.75" customHeight="1">
      <c r="E78" s="121" t="s">
        <v>206</v>
      </c>
      <c r="R78" s="105"/>
    </row>
    <row r="79" spans="5:24" ht="15.75" customHeight="1">
      <c r="E79" s="136" t="s">
        <v>63</v>
      </c>
      <c r="J79" s="137">
        <v>0</v>
      </c>
      <c r="K79" s="114">
        <f>+K5-J79</f>
        <v>30.17999999999995</v>
      </c>
    </row>
    <row r="80" spans="5:24" ht="18" customHeight="1">
      <c r="E80" s="136" t="s">
        <v>75</v>
      </c>
      <c r="J80" s="105">
        <v>0</v>
      </c>
      <c r="K80" s="114">
        <f>+K6</f>
        <v>1898.96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115.82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2594.96</v>
      </c>
    </row>
    <row r="84" spans="5:11" ht="23.25" customHeight="1" thickBot="1">
      <c r="E84" s="121" t="s">
        <v>80</v>
      </c>
      <c r="K84" s="141">
        <f>+K73+K77+K83</f>
        <v>2797.2200000000003</v>
      </c>
    </row>
    <row r="85" spans="5:11" ht="18.75" customHeight="1" thickBot="1">
      <c r="E85" s="198" t="s">
        <v>318</v>
      </c>
      <c r="K85" s="142">
        <f>+H20</f>
        <v>2741.6000000000004</v>
      </c>
    </row>
    <row r="86" spans="5:11" ht="23.25" customHeight="1" thickBot="1">
      <c r="E86" s="121" t="s">
        <v>82</v>
      </c>
      <c r="K86" s="143">
        <f>+K85-K84</f>
        <v>-55.619999999999891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ส.ค.2558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U46"/>
  <sheetViews>
    <sheetView zoomScaleSheetLayoutView="75" workbookViewId="0">
      <selection activeCell="I21" sqref="I21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307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308</v>
      </c>
      <c r="C3" s="149"/>
      <c r="D3" s="149"/>
      <c r="E3" s="149"/>
      <c r="F3" s="149"/>
      <c r="G3" s="149"/>
      <c r="H3" s="149"/>
      <c r="J3" s="150">
        <f>SUM(J4:J7)</f>
        <v>2826.9100000000003</v>
      </c>
      <c r="K3" s="150"/>
      <c r="L3" s="149" t="s">
        <v>90</v>
      </c>
    </row>
    <row r="4" spans="1:21">
      <c r="C4" s="146" t="s">
        <v>91</v>
      </c>
      <c r="J4" s="151">
        <v>21.05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2502.09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2523.1400000000003</v>
      </c>
    </row>
    <row r="6" spans="1:21">
      <c r="C6" s="146" t="s">
        <v>93</v>
      </c>
      <c r="J6" s="151">
        <v>298.41000000000003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5.36</v>
      </c>
      <c r="K7" s="151"/>
      <c r="L7" s="146" t="s">
        <v>90</v>
      </c>
      <c r="N7" s="147" t="s">
        <v>95</v>
      </c>
      <c r="P7" s="152">
        <f>SUM(J6:J7)</f>
        <v>303.77000000000004</v>
      </c>
      <c r="Q7" s="153"/>
      <c r="S7" s="173">
        <f>+J4+J6+J7</f>
        <v>324.82000000000005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2826.91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2973.2999999999993</v>
      </c>
      <c r="K10" s="157"/>
      <c r="L10" s="156" t="s">
        <v>90</v>
      </c>
      <c r="T10" s="153">
        <f>+J11-T5</f>
        <v>125.39999999999918</v>
      </c>
    </row>
    <row r="11" spans="1:21">
      <c r="D11" s="146" t="s">
        <v>98</v>
      </c>
      <c r="J11" s="151">
        <f>+I29</f>
        <v>2648.5399999999995</v>
      </c>
      <c r="K11" s="151"/>
      <c r="L11" s="146" t="s">
        <v>90</v>
      </c>
    </row>
    <row r="12" spans="1:21">
      <c r="D12" s="146" t="s">
        <v>99</v>
      </c>
      <c r="J12" s="151">
        <f>+I40</f>
        <v>324.75999999999988</v>
      </c>
      <c r="K12" s="151"/>
      <c r="L12" s="146" t="s">
        <v>90</v>
      </c>
      <c r="N12" s="147">
        <f>79.47+71.91+5.93-2.01</f>
        <v>155.30000000000001</v>
      </c>
      <c r="S12" s="173">
        <f>+J12+J15</f>
        <v>324.78000000000003</v>
      </c>
      <c r="T12" s="153">
        <f>+J6+J7</f>
        <v>303.77000000000004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-146.38999999999919</v>
      </c>
      <c r="K13" s="157"/>
      <c r="L13" s="156" t="s">
        <v>90</v>
      </c>
      <c r="N13" s="159">
        <f>+J14+J11</f>
        <v>2502.13</v>
      </c>
    </row>
    <row r="14" spans="1:21">
      <c r="D14" s="146" t="s">
        <v>98</v>
      </c>
      <c r="J14" s="151">
        <f>+J5-I29+0.04</f>
        <v>-146.40999999999937</v>
      </c>
      <c r="K14" s="151"/>
      <c r="L14" s="146" t="s">
        <v>90</v>
      </c>
      <c r="N14" s="147">
        <f>+J15+J12</f>
        <v>324.78000000000003</v>
      </c>
    </row>
    <row r="15" spans="1:21">
      <c r="D15" s="146" t="s">
        <v>99</v>
      </c>
      <c r="J15" s="204">
        <f>+J4+J6+J7-J12-0.04</f>
        <v>2.0000000000172803E-2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309</v>
      </c>
      <c r="J18" s="157">
        <f>+J3</f>
        <v>2826.9100000000003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112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12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0.16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12.47</v>
      </c>
      <c r="I26" s="157"/>
    </row>
    <row r="27" spans="2:21">
      <c r="D27" s="156" t="s">
        <v>211</v>
      </c>
      <c r="G27" s="164">
        <f>2627.97-1.03</f>
        <v>2626.9399999999996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9.93-0.8</f>
        <v>9.129999999999999</v>
      </c>
      <c r="H29" s="165">
        <f>SUM(G27:G29)</f>
        <v>2636.0699999999997</v>
      </c>
      <c r="I29" s="157">
        <f>+H26+H29</f>
        <v>2648.5399999999995</v>
      </c>
      <c r="U29" s="152">
        <f>+G29-9.09</f>
        <v>3.9999999999999147E-2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112</v>
      </c>
      <c r="G31" s="162"/>
      <c r="H31" s="166"/>
      <c r="I31" s="157"/>
    </row>
    <row r="32" spans="2:21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2.15-0.03-0.02</f>
        <v>2.1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5.8900000000000006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3.21-3.21+4.36-1.8-2.56+6.03</f>
        <v>6.0300000000000011</v>
      </c>
      <c r="H37" s="167"/>
      <c r="I37" s="168"/>
      <c r="L37" s="156"/>
    </row>
    <row r="38" spans="3:14">
      <c r="D38" s="146" t="s">
        <v>115</v>
      </c>
      <c r="G38" s="164">
        <f>446.03+1-7.6-136.34</f>
        <v>303.08999999999992</v>
      </c>
      <c r="H38" s="167"/>
      <c r="I38" s="168"/>
      <c r="L38" s="156"/>
    </row>
    <row r="39" spans="3:14">
      <c r="D39" s="146" t="s">
        <v>116</v>
      </c>
      <c r="G39" s="164">
        <f>10.4+0.03-3.05+0.8</f>
        <v>8.18</v>
      </c>
      <c r="H39" s="167"/>
      <c r="I39" s="168"/>
      <c r="L39" s="156"/>
    </row>
    <row r="40" spans="3:14">
      <c r="D40" s="146" t="s">
        <v>110</v>
      </c>
      <c r="G40" s="163">
        <f>1.39+0.18</f>
        <v>1.5699999999999998</v>
      </c>
      <c r="H40" s="165">
        <f>SUM(G37:G40)</f>
        <v>318.86999999999989</v>
      </c>
      <c r="I40" s="168">
        <f>SUM(H32:H40)</f>
        <v>324.75999999999988</v>
      </c>
      <c r="J40" s="170">
        <f>+I29+I40</f>
        <v>2973.2999999999993</v>
      </c>
      <c r="L40" s="156"/>
    </row>
    <row r="41" spans="3:14" ht="21.75" thickBot="1">
      <c r="C41" s="156" t="s">
        <v>310</v>
      </c>
      <c r="I41" s="171"/>
      <c r="J41" s="172">
        <f>+J18-J40</f>
        <v>-146.38999999999896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5.36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9 ก.ค. 2558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X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X66" sqref="X66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303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304</v>
      </c>
      <c r="E3" s="1" t="s">
        <v>5</v>
      </c>
      <c r="F3" s="2" t="s">
        <v>201</v>
      </c>
      <c r="G3" s="3" t="s">
        <v>198</v>
      </c>
      <c r="H3" s="5" t="s">
        <v>305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321.15000000000003</v>
      </c>
      <c r="H4" s="16">
        <f>SUM(H5:H8)</f>
        <v>12212.800000000001</v>
      </c>
      <c r="I4" s="17">
        <f>SUM(I5:I8)</f>
        <v>3140</v>
      </c>
      <c r="J4" s="18">
        <f>SUM(J5:J8)</f>
        <v>629.13</v>
      </c>
      <c r="K4" s="19">
        <f>SUM(K5:K8)</f>
        <v>2510.87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289.86</v>
      </c>
      <c r="H5" s="27">
        <f>+F5+G5</f>
        <v>8734.76</v>
      </c>
      <c r="I5" s="28">
        <v>640</v>
      </c>
      <c r="J5" s="29">
        <f>593.85+5+1</f>
        <v>599.85</v>
      </c>
      <c r="K5" s="30">
        <f>+I5-J5</f>
        <v>40.149999999999977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31.29</v>
      </c>
      <c r="H6" s="27">
        <f>+F6+G6</f>
        <v>3193.44</v>
      </c>
      <c r="I6" s="33">
        <v>1950</v>
      </c>
      <c r="J6" s="34">
        <f>3.21+4.36+9.78+5.9+6.03</f>
        <v>29.28</v>
      </c>
      <c r="K6" s="35">
        <f>+I6-J6</f>
        <v>1920.72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27.18</v>
      </c>
      <c r="H9" s="16">
        <f>SUM(H10:H18)</f>
        <v>2805.9500000000003</v>
      </c>
      <c r="I9" s="17">
        <f>SUM(I15:I16)</f>
        <v>160</v>
      </c>
      <c r="J9" s="50">
        <f>SUM(J15:J16)</f>
        <v>43.93</v>
      </c>
      <c r="K9" s="51">
        <f>SUM(K15:K16)</f>
        <v>116.07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749.23</v>
      </c>
      <c r="D10" s="24">
        <f>SUM(O11:O17)</f>
        <v>10772.43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22.87</v>
      </c>
      <c r="D11" s="58">
        <f>+B11+C11</f>
        <v>728.18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728.18</v>
      </c>
    </row>
    <row r="12" spans="1:15" s="20" customFormat="1" ht="23.25">
      <c r="A12" s="21" t="s">
        <v>29</v>
      </c>
      <c r="B12" s="31">
        <v>730.91</v>
      </c>
      <c r="C12" s="32">
        <v>33</v>
      </c>
      <c r="D12" s="58">
        <f t="shared" ref="D12:D17" si="2">+B12+C12</f>
        <v>763.91</v>
      </c>
      <c r="E12" s="21" t="s">
        <v>30</v>
      </c>
      <c r="F12" s="31">
        <v>86.44</v>
      </c>
      <c r="G12" s="32">
        <v>2.79</v>
      </c>
      <c r="H12" s="27">
        <f t="shared" si="0"/>
        <v>89.23</v>
      </c>
      <c r="I12" s="33"/>
      <c r="J12" s="43">
        <v>0</v>
      </c>
      <c r="K12" s="44">
        <f>+I12-J12</f>
        <v>0</v>
      </c>
      <c r="L12" s="57"/>
      <c r="O12" s="59">
        <f t="shared" si="1"/>
        <v>763.91</v>
      </c>
    </row>
    <row r="13" spans="1:15" s="20" customFormat="1" ht="23.25">
      <c r="A13" s="21" t="s">
        <v>31</v>
      </c>
      <c r="B13" s="31">
        <v>269.3</v>
      </c>
      <c r="C13" s="32">
        <v>7.65</v>
      </c>
      <c r="D13" s="58">
        <f t="shared" si="2"/>
        <v>276.95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276.95</v>
      </c>
    </row>
    <row r="14" spans="1:15" s="20" customFormat="1" ht="23.25">
      <c r="A14" s="21" t="s">
        <v>33</v>
      </c>
      <c r="B14" s="31">
        <v>6798</v>
      </c>
      <c r="C14" s="32">
        <v>567.54</v>
      </c>
      <c r="D14" s="58">
        <f t="shared" si="2"/>
        <v>7365.54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7365.54</v>
      </c>
    </row>
    <row r="15" spans="1:15" s="20" customFormat="1" ht="23.25">
      <c r="A15" s="21" t="s">
        <v>35</v>
      </c>
      <c r="B15" s="60">
        <v>87.09</v>
      </c>
      <c r="C15" s="32">
        <v>2.27</v>
      </c>
      <c r="D15" s="58">
        <f t="shared" si="2"/>
        <v>89.36</v>
      </c>
      <c r="E15" s="21" t="s">
        <v>36</v>
      </c>
      <c r="F15" s="31">
        <f>1042.74-0.05</f>
        <v>1042.69</v>
      </c>
      <c r="G15" s="32">
        <v>24.39</v>
      </c>
      <c r="H15" s="27">
        <f t="shared" si="0"/>
        <v>1067.0800000000002</v>
      </c>
      <c r="I15" s="33">
        <v>160</v>
      </c>
      <c r="J15" s="61">
        <f>36.42+6.97+0.31+2.03+0.01+0.03-1.84</f>
        <v>43.93</v>
      </c>
      <c r="K15" s="35">
        <f>+I15-J15-J16</f>
        <v>116.07</v>
      </c>
      <c r="L15" s="57"/>
      <c r="O15" s="59">
        <f t="shared" si="1"/>
        <v>89.36</v>
      </c>
    </row>
    <row r="16" spans="1:15" s="20" customFormat="1" ht="23.25">
      <c r="A16" s="21" t="s">
        <v>37</v>
      </c>
      <c r="B16" s="62">
        <v>490.18</v>
      </c>
      <c r="C16" s="32">
        <v>40.08</v>
      </c>
      <c r="D16" s="58">
        <f t="shared" si="2"/>
        <v>530.26</v>
      </c>
      <c r="E16" s="33"/>
      <c r="F16" s="31"/>
      <c r="G16" s="26"/>
      <c r="H16" s="27"/>
      <c r="I16" s="63"/>
      <c r="J16" s="64"/>
      <c r="K16" s="35"/>
      <c r="O16" s="59">
        <f t="shared" si="1"/>
        <v>530.26</v>
      </c>
    </row>
    <row r="17" spans="1:18" s="20" customFormat="1" ht="23.25">
      <c r="A17" s="21" t="s">
        <v>39</v>
      </c>
      <c r="B17" s="65">
        <v>942.41</v>
      </c>
      <c r="C17" s="32">
        <v>75.819999999999993</v>
      </c>
      <c r="D17" s="58">
        <f t="shared" si="2"/>
        <v>1018.23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1018.23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348.33000000000004</v>
      </c>
      <c r="H19" s="83">
        <f>+H4+H9</f>
        <v>15018.750000000002</v>
      </c>
      <c r="I19" s="19">
        <f>+I4+I9</f>
        <v>3300</v>
      </c>
      <c r="J19" s="84">
        <f>+J4+J9</f>
        <v>673.06</v>
      </c>
      <c r="K19" s="51">
        <f>+K4+K9</f>
        <v>2626.94</v>
      </c>
      <c r="M19" s="20">
        <f>F20+G20</f>
        <v>2826.9100000000003</v>
      </c>
      <c r="O19" s="85"/>
    </row>
    <row r="20" spans="1:18" s="20" customFormat="1" ht="23.25">
      <c r="A20" s="86"/>
      <c r="B20" s="74"/>
      <c r="C20" s="71"/>
      <c r="D20" s="80"/>
      <c r="E20" s="87" t="s">
        <v>311</v>
      </c>
      <c r="F20" s="88">
        <f>B22-F19</f>
        <v>2426.0100000000002</v>
      </c>
      <c r="G20" s="89">
        <f>C22-G19</f>
        <v>400.9</v>
      </c>
      <c r="H20" s="90">
        <f>+D22-H19</f>
        <v>2826.909999999998</v>
      </c>
      <c r="I20" s="225" t="s">
        <v>314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312</v>
      </c>
      <c r="F21" s="95"/>
      <c r="G21" s="96"/>
      <c r="H21" s="97"/>
      <c r="I21" s="214" t="s">
        <v>313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-2826.909999999998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749.23</v>
      </c>
      <c r="D22" s="100">
        <f>SUM(D4:D10)</f>
        <v>17845.66</v>
      </c>
      <c r="E22" s="101" t="s">
        <v>46</v>
      </c>
      <c r="F22" s="102">
        <f>SUM(F19:F20)</f>
        <v>17096.43</v>
      </c>
      <c r="G22" s="103">
        <f>SUM(G19:G20)</f>
        <v>749.23</v>
      </c>
      <c r="H22" s="102">
        <f>+H19+H20</f>
        <v>17845.66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3"/>
      <c r="K25" s="203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2826.909999999998</v>
      </c>
      <c r="J26" s="111">
        <f>+F40</f>
        <v>334.36</v>
      </c>
      <c r="K26" s="112">
        <f>+I26-J26</f>
        <v>2492.5499999999979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5.52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1.7799999999999998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326.42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334.36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/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/>
      <c r="R63" s="105"/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/>
      <c r="R64" s="105"/>
    </row>
    <row r="65" spans="5:24" ht="18.75" customHeight="1" thickBot="1">
      <c r="E65" s="113"/>
      <c r="F65" t="s">
        <v>66</v>
      </c>
      <c r="G65" s="120">
        <f>4+0.01</f>
        <v>4.01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1.7799999999999998</v>
      </c>
      <c r="L65" s="114"/>
      <c r="R65" s="105"/>
      <c r="S65" s="105"/>
    </row>
    <row r="66" spans="5:24" ht="18.75" customHeight="1" thickBot="1">
      <c r="E66" s="113"/>
      <c r="G66" s="120"/>
      <c r="H66" s="114"/>
      <c r="I66" s="114"/>
      <c r="J66" s="114"/>
      <c r="K66" s="134">
        <f>SUM(K63:K65)</f>
        <v>1.7799999999999998</v>
      </c>
      <c r="L66" s="114"/>
    </row>
    <row r="67" spans="5:24" ht="18.75" customHeight="1">
      <c r="E67" s="121" t="s">
        <v>204</v>
      </c>
      <c r="F67" t="s">
        <v>63</v>
      </c>
      <c r="G67" s="120">
        <v>0</v>
      </c>
      <c r="H67" s="114">
        <f>593.85+5+1</f>
        <v>599.85</v>
      </c>
      <c r="I67" s="114">
        <f>152.53+136.34-0.01</f>
        <v>288.86</v>
      </c>
      <c r="J67" s="114">
        <f>0.26+0.03+7.6</f>
        <v>7.89</v>
      </c>
      <c r="K67" s="114">
        <f>+G67+H67-I67-J67</f>
        <v>303.10000000000002</v>
      </c>
      <c r="L67" s="114"/>
      <c r="Q67" s="205">
        <f>+H67+H68+H69</f>
        <v>673.06</v>
      </c>
      <c r="R67" s="105">
        <f>+I63+I67</f>
        <v>289.86</v>
      </c>
    </row>
    <row r="68" spans="5:24" ht="18.75" customHeight="1">
      <c r="E68" s="113"/>
      <c r="F68" t="s">
        <v>64</v>
      </c>
      <c r="G68" s="120">
        <v>0</v>
      </c>
      <c r="H68" s="114">
        <f>3.21+4.36+9.78+5.9+6.03</f>
        <v>29.28</v>
      </c>
      <c r="I68" s="114">
        <f>3.21+1.8+2.56+9.78+5.9</f>
        <v>23.25</v>
      </c>
      <c r="J68" s="114"/>
      <c r="K68" s="114">
        <f t="shared" ref="K68" si="6">+G68+H68-I68-J68</f>
        <v>6.0300000000000011</v>
      </c>
      <c r="L68" s="114"/>
      <c r="Q68" s="125"/>
      <c r="R68" s="105">
        <f>+I59+I64+I68</f>
        <v>31.29</v>
      </c>
    </row>
    <row r="69" spans="5:24" ht="18.75" customHeight="1" thickBot="1">
      <c r="E69" s="113"/>
      <c r="F69" t="s">
        <v>66</v>
      </c>
      <c r="G69" s="120">
        <v>0</v>
      </c>
      <c r="H69" s="114">
        <f>36.42+6.97+0.31+2.03+0.01+0.03-1.84</f>
        <v>43.93</v>
      </c>
      <c r="I69" s="114">
        <f>8.57+2.64-0.02+1.96+3.7+3.4+0.34+2.96+3.05</f>
        <v>26.6</v>
      </c>
      <c r="J69" s="105">
        <f>0.01+0.01+0.02</f>
        <v>0.04</v>
      </c>
      <c r="K69" s="114">
        <f>+G69+H69-I69-J69</f>
        <v>17.29</v>
      </c>
      <c r="L69" s="114"/>
      <c r="R69" s="105">
        <f>+I65+I69+I71</f>
        <v>27.180000000000003</v>
      </c>
      <c r="S69" s="105"/>
    </row>
    <row r="70" spans="5:24" ht="18.75" customHeight="1" thickBot="1">
      <c r="E70" s="113"/>
      <c r="G70" s="120"/>
      <c r="H70" s="114"/>
      <c r="I70" s="114"/>
      <c r="J70" s="114"/>
      <c r="K70" s="134">
        <f>SUM(K67:K69)</f>
        <v>326.42</v>
      </c>
      <c r="L70" s="114"/>
      <c r="R70" s="105">
        <f>SUM(R67:R69)</f>
        <v>348.33000000000004</v>
      </c>
      <c r="T70" s="105">
        <f>+J44+J60+J61+J63+J65+J67+J69</f>
        <v>9.9899999999999984</v>
      </c>
    </row>
    <row r="71" spans="5:24" ht="18.75" customHeight="1">
      <c r="E71" s="113"/>
      <c r="F71" s="129" t="s">
        <v>50</v>
      </c>
      <c r="G71" s="120">
        <v>4.05</v>
      </c>
      <c r="H71" s="114">
        <f>1.39+0.18</f>
        <v>1.5699999999999998</v>
      </c>
      <c r="I71" s="114">
        <f>0.07+0.01+0.02</f>
        <v>0.1</v>
      </c>
      <c r="J71"/>
      <c r="K71" s="114">
        <f>+G71+H71-I71</f>
        <v>5.52</v>
      </c>
      <c r="R71" s="105"/>
    </row>
    <row r="72" spans="5:24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/>
      <c r="V72" s="105">
        <f>+H67+H68+H69</f>
        <v>673.06</v>
      </c>
      <c r="W72" s="105">
        <f>SUM(I59:I71)</f>
        <v>348.33000000000004</v>
      </c>
      <c r="X72" s="105">
        <f>+J44+J60+J61+J63+J65+J67+J69</f>
        <v>9.9899999999999984</v>
      </c>
    </row>
    <row r="73" spans="5:24" ht="18.75" customHeight="1" thickBot="1">
      <c r="E73" s="121" t="s">
        <v>73</v>
      </c>
      <c r="H73" s="114"/>
      <c r="I73" s="114"/>
      <c r="J73"/>
      <c r="K73" s="131">
        <f>+K47+K52+K57+K62+K70+K71+K72+K66</f>
        <v>334.35999999999996</v>
      </c>
      <c r="M73" s="105">
        <f>+K52+K71+K72</f>
        <v>5.8299999999999992</v>
      </c>
      <c r="R73" s="105"/>
    </row>
    <row r="74" spans="5:24" ht="18.75" customHeight="1">
      <c r="E74" s="121" t="s">
        <v>205</v>
      </c>
      <c r="H74" s="114"/>
      <c r="I74" s="114"/>
      <c r="J74"/>
      <c r="K74" s="135"/>
      <c r="M74" s="105"/>
      <c r="R74" s="105"/>
    </row>
    <row r="75" spans="5:24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/>
    </row>
    <row r="76" spans="5:24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/>
    </row>
    <row r="77" spans="5:24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24" ht="18.75" customHeight="1">
      <c r="E78" s="121" t="s">
        <v>206</v>
      </c>
      <c r="R78" s="105"/>
    </row>
    <row r="79" spans="5:24" ht="15.75" customHeight="1">
      <c r="E79" s="136" t="s">
        <v>63</v>
      </c>
      <c r="J79" s="137">
        <v>0</v>
      </c>
      <c r="K79" s="114">
        <f>+K5-J79</f>
        <v>40.149999999999977</v>
      </c>
    </row>
    <row r="80" spans="5:24" ht="18" customHeight="1">
      <c r="E80" s="136" t="s">
        <v>75</v>
      </c>
      <c r="J80" s="105">
        <v>0</v>
      </c>
      <c r="K80" s="114">
        <f>+K6</f>
        <v>1920.72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116.07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2626.94</v>
      </c>
    </row>
    <row r="84" spans="5:11" ht="23.25" customHeight="1" thickBot="1">
      <c r="E84" s="121" t="s">
        <v>80</v>
      </c>
      <c r="K84" s="141">
        <f>+K73+K77+K83</f>
        <v>2973.3</v>
      </c>
    </row>
    <row r="85" spans="5:11" ht="18.75" customHeight="1" thickBot="1">
      <c r="E85" s="198" t="s">
        <v>306</v>
      </c>
      <c r="K85" s="142">
        <f>+H20</f>
        <v>2826.909999999998</v>
      </c>
    </row>
    <row r="86" spans="5:11" ht="23.25" customHeight="1" thickBot="1">
      <c r="E86" s="121" t="s">
        <v>82</v>
      </c>
      <c r="K86" s="143">
        <f>+K85-K84</f>
        <v>-146.39000000000215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ก.ค.2558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T46"/>
  <sheetViews>
    <sheetView topLeftCell="A20" zoomScaleSheetLayoutView="75" workbookViewId="0">
      <selection activeCell="H44" sqref="H44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0" ht="26.25">
      <c r="A1" s="213" t="s">
        <v>291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0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0" ht="23.25">
      <c r="B3" s="149" t="s">
        <v>292</v>
      </c>
      <c r="C3" s="149"/>
      <c r="D3" s="149"/>
      <c r="E3" s="149"/>
      <c r="F3" s="149"/>
      <c r="G3" s="149"/>
      <c r="H3" s="149"/>
      <c r="J3" s="150">
        <f>SUM(J4:J7)</f>
        <v>2866.3199999999997</v>
      </c>
      <c r="K3" s="150"/>
      <c r="L3" s="149" t="s">
        <v>90</v>
      </c>
    </row>
    <row r="4" spans="1:20">
      <c r="C4" s="146" t="s">
        <v>91</v>
      </c>
      <c r="J4" s="151">
        <v>0.75</v>
      </c>
      <c r="K4" s="151"/>
      <c r="L4" s="146" t="s">
        <v>90</v>
      </c>
      <c r="N4" s="147">
        <f>15000+2549028</f>
        <v>2564028</v>
      </c>
    </row>
    <row r="5" spans="1:20">
      <c r="C5" s="146" t="s">
        <v>92</v>
      </c>
      <c r="J5" s="151">
        <v>2396.54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2397.29</v>
      </c>
    </row>
    <row r="6" spans="1:20">
      <c r="C6" s="146" t="s">
        <v>93</v>
      </c>
      <c r="J6" s="151">
        <v>463.85</v>
      </c>
      <c r="K6" s="151"/>
      <c r="L6" s="146" t="s">
        <v>90</v>
      </c>
      <c r="N6" s="147">
        <f>159.68-1.53</f>
        <v>158.15</v>
      </c>
    </row>
    <row r="7" spans="1:20">
      <c r="C7" s="146" t="s">
        <v>94</v>
      </c>
      <c r="J7" s="151">
        <v>5.18</v>
      </c>
      <c r="K7" s="151"/>
      <c r="L7" s="146" t="s">
        <v>90</v>
      </c>
      <c r="N7" s="147" t="s">
        <v>95</v>
      </c>
      <c r="P7" s="152">
        <f>SUM(J6:J7)</f>
        <v>469.03000000000003</v>
      </c>
      <c r="Q7" s="153"/>
      <c r="S7" s="173">
        <f>+J4+J6+J7</f>
        <v>469.78000000000003</v>
      </c>
    </row>
    <row r="8" spans="1:20">
      <c r="F8" s="154"/>
      <c r="J8" s="151"/>
      <c r="K8" s="151"/>
    </row>
    <row r="9" spans="1:20" s="149" customFormat="1" ht="23.25">
      <c r="B9" s="149" t="s">
        <v>96</v>
      </c>
      <c r="J9" s="150">
        <f>+J10+J13</f>
        <v>2866.32</v>
      </c>
      <c r="K9" s="150"/>
      <c r="L9" s="149" t="s">
        <v>90</v>
      </c>
      <c r="N9" s="155"/>
    </row>
    <row r="10" spans="1:20">
      <c r="C10" s="156" t="s">
        <v>97</v>
      </c>
      <c r="D10" s="156"/>
      <c r="E10" s="156"/>
      <c r="F10" s="156"/>
      <c r="G10" s="156"/>
      <c r="H10" s="156"/>
      <c r="J10" s="157">
        <f>SUM(J11:J12)</f>
        <v>3120.0899999999992</v>
      </c>
      <c r="K10" s="157"/>
      <c r="L10" s="156" t="s">
        <v>90</v>
      </c>
      <c r="T10" s="153">
        <f>+J11-T5</f>
        <v>253.05999999999904</v>
      </c>
    </row>
    <row r="11" spans="1:20">
      <c r="D11" s="146" t="s">
        <v>98</v>
      </c>
      <c r="J11" s="151">
        <f>+I29</f>
        <v>2650.349999999999</v>
      </c>
      <c r="K11" s="151"/>
      <c r="L11" s="146" t="s">
        <v>90</v>
      </c>
    </row>
    <row r="12" spans="1:20">
      <c r="D12" s="146" t="s">
        <v>99</v>
      </c>
      <c r="J12" s="151">
        <f>+I40</f>
        <v>469.74</v>
      </c>
      <c r="K12" s="151"/>
      <c r="L12" s="146" t="s">
        <v>90</v>
      </c>
      <c r="N12" s="147">
        <f>79.47+71.91+5.93-2.01</f>
        <v>155.30000000000001</v>
      </c>
      <c r="S12" s="173">
        <f>+J12+J15</f>
        <v>469.74</v>
      </c>
      <c r="T12" s="153">
        <f>+J6+J7</f>
        <v>469.03000000000003</v>
      </c>
    </row>
    <row r="13" spans="1:20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-253.76999999999902</v>
      </c>
      <c r="K13" s="157"/>
      <c r="L13" s="156" t="s">
        <v>90</v>
      </c>
      <c r="N13" s="159">
        <f>+J14+J11</f>
        <v>2396.58</v>
      </c>
    </row>
    <row r="14" spans="1:20">
      <c r="D14" s="146" t="s">
        <v>98</v>
      </c>
      <c r="J14" s="151">
        <f>+J5-I29+0.04</f>
        <v>-253.76999999999904</v>
      </c>
      <c r="K14" s="151"/>
      <c r="L14" s="146" t="s">
        <v>90</v>
      </c>
      <c r="N14" s="147">
        <f>+J15+J12</f>
        <v>469.74</v>
      </c>
    </row>
    <row r="15" spans="1:20">
      <c r="D15" s="146" t="s">
        <v>99</v>
      </c>
      <c r="J15" s="204">
        <f>+J4+J6+J7-J12-0.04</f>
        <v>2.0462798122622416E-14</v>
      </c>
      <c r="K15" s="151"/>
      <c r="L15" s="146" t="s">
        <v>90</v>
      </c>
    </row>
    <row r="16" spans="1:20">
      <c r="I16" s="151"/>
    </row>
    <row r="17" spans="2:12">
      <c r="B17" s="160" t="s">
        <v>49</v>
      </c>
      <c r="I17" s="151"/>
    </row>
    <row r="18" spans="2:12">
      <c r="C18" s="156" t="s">
        <v>293</v>
      </c>
      <c r="J18" s="157">
        <f>+J3</f>
        <v>2866.3199999999997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2662.16-6.97-0.31-9.78-2.03-5.9-6.03-5.01</f>
        <v>2626.1299999999992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12.71-0.43-0.42-0.11</f>
        <v>11.750000000000002</v>
      </c>
      <c r="H29" s="165">
        <f>SUM(G27:G29)</f>
        <v>2637.8799999999992</v>
      </c>
      <c r="I29" s="157">
        <f>+H26+H29</f>
        <v>2650.349999999999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2.15-0.03-0.02</f>
        <v>2.1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5.8900000000000006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3.21-3.21+4.36-1.8-2.56+6.03</f>
        <v>6.0300000000000011</v>
      </c>
      <c r="H37" s="167"/>
      <c r="I37" s="168"/>
      <c r="L37" s="156"/>
    </row>
    <row r="38" spans="3:14">
      <c r="D38" s="146" t="s">
        <v>115</v>
      </c>
      <c r="G38" s="164">
        <f>593.85-8.19-29.28-31.02-0.26-64.14-0.03-19.9+5</f>
        <v>446.03000000000009</v>
      </c>
      <c r="H38" s="167"/>
      <c r="I38" s="168"/>
      <c r="L38" s="156"/>
    </row>
    <row r="39" spans="3:14">
      <c r="D39" s="146" t="s">
        <v>116</v>
      </c>
      <c r="G39" s="164">
        <f>19.07+0.31-1.96-0.01-3.7+0.42+2.03-0.01-3.4+0.43-0.34-2.96+0.53-0.02+0.01</f>
        <v>10.399999999999995</v>
      </c>
      <c r="H39" s="167"/>
      <c r="I39" s="168"/>
      <c r="L39" s="156"/>
    </row>
    <row r="40" spans="3:14">
      <c r="D40" s="146" t="s">
        <v>110</v>
      </c>
      <c r="G40" s="163">
        <f>0.08+0.03+0.32+0.1+0.15+0.03+0.68</f>
        <v>1.3900000000000001</v>
      </c>
      <c r="H40" s="165">
        <f>SUM(G37:G40)</f>
        <v>463.85</v>
      </c>
      <c r="I40" s="168">
        <f>+H35+H40</f>
        <v>469.74</v>
      </c>
      <c r="J40" s="170">
        <f>+I29+I40</f>
        <v>3120.0899999999992</v>
      </c>
      <c r="L40" s="156"/>
    </row>
    <row r="41" spans="3:14" ht="21.75" thickBot="1">
      <c r="C41" s="156" t="s">
        <v>294</v>
      </c>
      <c r="I41" s="171"/>
      <c r="J41" s="172">
        <f>+J18-J40</f>
        <v>-253.76999999999953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5.1800000000000006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มิ.ย. 2558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5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J15" sqref="J15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295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296</v>
      </c>
      <c r="E3" s="1" t="s">
        <v>5</v>
      </c>
      <c r="F3" s="2" t="s">
        <v>201</v>
      </c>
      <c r="G3" s="3" t="s">
        <v>198</v>
      </c>
      <c r="H3" s="5" t="s">
        <v>297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184.82</v>
      </c>
      <c r="H4" s="16">
        <f>SUM(H5:H8)</f>
        <v>12076.470000000001</v>
      </c>
      <c r="I4" s="17">
        <f>SUM(I5:I8)</f>
        <v>3140</v>
      </c>
      <c r="J4" s="18">
        <f>SUM(J5:J8)</f>
        <v>628.13</v>
      </c>
      <c r="K4" s="19">
        <f>SUM(K5:K8)</f>
        <v>2511.87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153.53</v>
      </c>
      <c r="H5" s="27">
        <f>+F5+G5</f>
        <v>8598.43</v>
      </c>
      <c r="I5" s="28">
        <v>640</v>
      </c>
      <c r="J5" s="29">
        <f>593.85+5</f>
        <v>598.85</v>
      </c>
      <c r="K5" s="30">
        <f>+I5-J5</f>
        <v>41.149999999999977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31.29</v>
      </c>
      <c r="H6" s="27">
        <f>+F6+G6</f>
        <v>3193.44</v>
      </c>
      <c r="I6" s="33">
        <v>1950</v>
      </c>
      <c r="J6" s="34">
        <f>3.21+4.36+9.78+5.9+6.03</f>
        <v>29.28</v>
      </c>
      <c r="K6" s="35">
        <f>+I6-J6</f>
        <v>1920.72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24.13</v>
      </c>
      <c r="H9" s="16">
        <f>SUM(H10:H18)</f>
        <v>2802.9000000000005</v>
      </c>
      <c r="I9" s="17">
        <f>SUM(I15:I16)</f>
        <v>160</v>
      </c>
      <c r="J9" s="50">
        <f>SUM(J15:J16)</f>
        <v>45.74</v>
      </c>
      <c r="K9" s="51">
        <f>SUM(K15:K16)</f>
        <v>114.25999999999999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649.26</v>
      </c>
      <c r="D10" s="24">
        <f>SUM(O11:O17)</f>
        <v>10672.46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21.33</v>
      </c>
      <c r="D11" s="58">
        <f>+B11+C11</f>
        <v>726.64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726.64</v>
      </c>
    </row>
    <row r="12" spans="1:15" s="20" customFormat="1" ht="23.25">
      <c r="A12" s="21" t="s">
        <v>29</v>
      </c>
      <c r="B12" s="31">
        <v>730.91</v>
      </c>
      <c r="C12" s="32">
        <v>30.78</v>
      </c>
      <c r="D12" s="58">
        <f t="shared" ref="D12:D17" si="2">+B12+C12</f>
        <v>761.68999999999994</v>
      </c>
      <c r="E12" s="21" t="s">
        <v>30</v>
      </c>
      <c r="F12" s="31">
        <v>86.44</v>
      </c>
      <c r="G12" s="32">
        <v>2.4500000000000002</v>
      </c>
      <c r="H12" s="27">
        <f t="shared" si="0"/>
        <v>88.89</v>
      </c>
      <c r="I12" s="33"/>
      <c r="J12" s="43">
        <v>0</v>
      </c>
      <c r="K12" s="44">
        <f>+I12-J12</f>
        <v>0</v>
      </c>
      <c r="L12" s="57"/>
      <c r="O12" s="59">
        <f t="shared" si="1"/>
        <v>761.68999999999994</v>
      </c>
    </row>
    <row r="13" spans="1:15" s="20" customFormat="1" ht="23.25">
      <c r="A13" s="21" t="s">
        <v>31</v>
      </c>
      <c r="B13" s="31">
        <v>269.3</v>
      </c>
      <c r="C13" s="32">
        <v>7.08</v>
      </c>
      <c r="D13" s="58">
        <f t="shared" si="2"/>
        <v>276.38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276.38</v>
      </c>
    </row>
    <row r="14" spans="1:15" s="20" customFormat="1" ht="23.25">
      <c r="A14" s="21" t="s">
        <v>33</v>
      </c>
      <c r="B14" s="31">
        <v>6798</v>
      </c>
      <c r="C14" s="32">
        <v>482.75</v>
      </c>
      <c r="D14" s="58">
        <f t="shared" si="2"/>
        <v>7280.75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7280.75</v>
      </c>
    </row>
    <row r="15" spans="1:15" s="20" customFormat="1" ht="23.25">
      <c r="A15" s="21" t="s">
        <v>35</v>
      </c>
      <c r="B15" s="60">
        <v>87.09</v>
      </c>
      <c r="C15" s="32">
        <v>2.16</v>
      </c>
      <c r="D15" s="58">
        <f t="shared" si="2"/>
        <v>89.25</v>
      </c>
      <c r="E15" s="21" t="s">
        <v>36</v>
      </c>
      <c r="F15" s="31">
        <f>1042.74-0.05</f>
        <v>1042.69</v>
      </c>
      <c r="G15" s="32">
        <v>21.68</v>
      </c>
      <c r="H15" s="27">
        <f t="shared" si="0"/>
        <v>1064.3700000000001</v>
      </c>
      <c r="I15" s="33">
        <v>160</v>
      </c>
      <c r="J15" s="61">
        <f>36.42+6.97+0.31+2.03+0.01</f>
        <v>45.74</v>
      </c>
      <c r="K15" s="35">
        <f>+I15-J15-J16</f>
        <v>114.25999999999999</v>
      </c>
      <c r="L15" s="57"/>
      <c r="O15" s="59">
        <f t="shared" si="1"/>
        <v>89.25</v>
      </c>
    </row>
    <row r="16" spans="1:15" s="20" customFormat="1" ht="23.25">
      <c r="A16" s="21" t="s">
        <v>37</v>
      </c>
      <c r="B16" s="62">
        <v>490.18</v>
      </c>
      <c r="C16" s="32">
        <v>34.119999999999997</v>
      </c>
      <c r="D16" s="58">
        <f t="shared" si="2"/>
        <v>524.29999999999995</v>
      </c>
      <c r="E16" s="33"/>
      <c r="F16" s="31"/>
      <c r="G16" s="26"/>
      <c r="H16" s="27"/>
      <c r="I16" s="63"/>
      <c r="J16" s="64"/>
      <c r="K16" s="35"/>
      <c r="O16" s="59">
        <f t="shared" si="1"/>
        <v>524.29999999999995</v>
      </c>
    </row>
    <row r="17" spans="1:18" s="20" customFormat="1" ht="23.25">
      <c r="A17" s="21" t="s">
        <v>39</v>
      </c>
      <c r="B17" s="65">
        <v>942.41</v>
      </c>
      <c r="C17" s="32">
        <v>71.040000000000006</v>
      </c>
      <c r="D17" s="58">
        <f t="shared" si="2"/>
        <v>1013.4499999999999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1013.4499999999999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208.95</v>
      </c>
      <c r="H19" s="83">
        <f>+H4+H9</f>
        <v>14879.370000000003</v>
      </c>
      <c r="I19" s="19">
        <f>+I4+I9</f>
        <v>3300</v>
      </c>
      <c r="J19" s="84">
        <f>+J4+J9</f>
        <v>673.87</v>
      </c>
      <c r="K19" s="51">
        <f>+K4+K9</f>
        <v>2626.13</v>
      </c>
      <c r="M19" s="20">
        <f>F20+G20</f>
        <v>2866.32</v>
      </c>
      <c r="O19" s="85"/>
    </row>
    <row r="20" spans="1:18" s="20" customFormat="1" ht="23.25">
      <c r="A20" s="86"/>
      <c r="B20" s="74"/>
      <c r="C20" s="71"/>
      <c r="D20" s="80"/>
      <c r="E20" s="87" t="s">
        <v>299</v>
      </c>
      <c r="F20" s="88">
        <f>B22-F19</f>
        <v>2426.0100000000002</v>
      </c>
      <c r="G20" s="89">
        <f>C22-G19</f>
        <v>440.31</v>
      </c>
      <c r="H20" s="90">
        <f>+D22-H19</f>
        <v>2866.3199999999961</v>
      </c>
      <c r="I20" s="225" t="s">
        <v>301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300</v>
      </c>
      <c r="F21" s="95"/>
      <c r="G21" s="96"/>
      <c r="H21" s="97"/>
      <c r="I21" s="214" t="s">
        <v>302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-2866.3199999999961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649.26</v>
      </c>
      <c r="D22" s="100">
        <f>SUM(D4:D10)</f>
        <v>17745.689999999999</v>
      </c>
      <c r="E22" s="101" t="s">
        <v>46</v>
      </c>
      <c r="F22" s="102">
        <f>SUM(F19:F20)</f>
        <v>17096.43</v>
      </c>
      <c r="G22" s="103">
        <f>SUM(G19:G20)</f>
        <v>649.26</v>
      </c>
      <c r="H22" s="102">
        <f>+H19+H20</f>
        <v>17745.689999999999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2"/>
      <c r="K25" s="202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2866.3199999999961</v>
      </c>
      <c r="J26" s="111">
        <f>+F40</f>
        <v>481.96000000000004</v>
      </c>
      <c r="K26" s="112">
        <f>+I26-J26</f>
        <v>2384.359999999996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5.34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474.21000000000004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481.96000000000004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>
        <f>+K44+K50+K55+K61</f>
        <v>0.33000000000000007</v>
      </c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1.79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0.48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</v>
      </c>
      <c r="L65" s="114"/>
      <c r="R65" s="105">
        <f>+R64+I67</f>
        <v>153.01</v>
      </c>
      <c r="S65" s="105">
        <f>+I51+I56+I57+I65+I67</f>
        <v>153.01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1.77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f>593.85+5</f>
        <v>598.85</v>
      </c>
      <c r="I67" s="114">
        <v>152.53</v>
      </c>
      <c r="J67" s="114">
        <f>0.26+0.03</f>
        <v>0.29000000000000004</v>
      </c>
      <c r="K67" s="114">
        <f>+G67+H67-I67-J67</f>
        <v>446.03000000000003</v>
      </c>
      <c r="L67" s="114"/>
      <c r="Q67" s="125" t="s">
        <v>61</v>
      </c>
      <c r="R67" s="105">
        <f>+J59+J61+J67+J69</f>
        <v>0.56000000000000005</v>
      </c>
    </row>
    <row r="68" spans="5:19" ht="18.75" customHeight="1">
      <c r="E68" s="113"/>
      <c r="F68" t="s">
        <v>64</v>
      </c>
      <c r="G68" s="120">
        <v>0</v>
      </c>
      <c r="H68" s="114">
        <f>3.21+4.36+9.78+5.9+6.03</f>
        <v>29.28</v>
      </c>
      <c r="I68" s="114">
        <f>3.21+1.8+2.56+9.78+5.9</f>
        <v>23.25</v>
      </c>
      <c r="J68" s="114"/>
      <c r="K68" s="114">
        <f t="shared" ref="K68" si="6">+G68+H68-I68-J68</f>
        <v>6.0300000000000011</v>
      </c>
      <c r="L68" s="114"/>
      <c r="Q68" s="125" t="s">
        <v>60</v>
      </c>
      <c r="R68" s="105">
        <f>+I55+I61+I69</f>
        <v>23.68</v>
      </c>
    </row>
    <row r="69" spans="5:19" ht="18.75" customHeight="1" thickBot="1">
      <c r="E69" s="113"/>
      <c r="F69" t="s">
        <v>66</v>
      </c>
      <c r="G69" s="120">
        <v>0</v>
      </c>
      <c r="H69" s="114">
        <f>36.42+6.97+0.31+2.03+0.01</f>
        <v>45.74</v>
      </c>
      <c r="I69" s="114">
        <f>8.57+2.64-0.02+1.96+3.7+3.4+0.34+2.96</f>
        <v>23.55</v>
      </c>
      <c r="J69" s="105">
        <f>0.01+0.01+0.02</f>
        <v>0.04</v>
      </c>
      <c r="K69" s="114">
        <f>+G69+H69-I69-J69</f>
        <v>22.150000000000002</v>
      </c>
      <c r="L69" s="114"/>
      <c r="R69" s="105">
        <f>+R68+I71</f>
        <v>23.78</v>
      </c>
      <c r="S69" s="105">
        <f>+I55+I60+I61+I69+I71</f>
        <v>23.78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474.21000000000004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v>1.39</v>
      </c>
      <c r="I71" s="114">
        <f>0.07+0.01+0.02</f>
        <v>0.1</v>
      </c>
      <c r="J71"/>
      <c r="K71" s="114">
        <f>+G71+H71-I71</f>
        <v>5.34</v>
      </c>
      <c r="R71" s="105">
        <f>+H58+H59+H67+H68+H69</f>
        <v>673.87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152.53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481.96</v>
      </c>
      <c r="M73" s="105">
        <f>+K52+K71+K72</f>
        <v>5.6499999999999995</v>
      </c>
      <c r="R73" s="105">
        <f>+I59+I68</f>
        <v>27.32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27.32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22.480000000000004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21.150000000000006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23.78</v>
      </c>
    </row>
    <row r="79" spans="5:19" ht="15.75" customHeight="1">
      <c r="E79" s="136" t="s">
        <v>63</v>
      </c>
      <c r="J79" s="137">
        <v>0</v>
      </c>
      <c r="K79" s="114">
        <f>+K5-J79</f>
        <v>41.149999999999977</v>
      </c>
    </row>
    <row r="80" spans="5:19" ht="18" customHeight="1">
      <c r="E80" s="136" t="s">
        <v>75</v>
      </c>
      <c r="J80" s="105">
        <v>0</v>
      </c>
      <c r="K80" s="114">
        <f>+K6</f>
        <v>1920.72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114.25999999999999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2626.13</v>
      </c>
    </row>
    <row r="84" spans="5:11" ht="23.25" customHeight="1" thickBot="1">
      <c r="E84" s="121" t="s">
        <v>80</v>
      </c>
      <c r="K84" s="141">
        <f>+K73+K77+K83</f>
        <v>3120.09</v>
      </c>
    </row>
    <row r="85" spans="5:11" ht="18.75" customHeight="1" thickBot="1">
      <c r="E85" s="198" t="s">
        <v>298</v>
      </c>
      <c r="K85" s="142">
        <f>+H20</f>
        <v>2866.3199999999961</v>
      </c>
    </row>
    <row r="86" spans="5:11" ht="23.25" customHeight="1" thickBot="1">
      <c r="E86" s="121" t="s">
        <v>82</v>
      </c>
      <c r="K86" s="143">
        <f>+K85-K84</f>
        <v>-253.77000000000407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มิ.ย.2558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</sheetPr>
  <dimension ref="A1:T46"/>
  <sheetViews>
    <sheetView zoomScaleSheetLayoutView="75" workbookViewId="0">
      <selection activeCell="J41" sqref="J41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0" ht="26.25">
      <c r="A1" s="213" t="s">
        <v>283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0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0" ht="23.25">
      <c r="B3" s="149" t="s">
        <v>284</v>
      </c>
      <c r="C3" s="149"/>
      <c r="D3" s="149"/>
      <c r="E3" s="149"/>
      <c r="F3" s="149"/>
      <c r="G3" s="149"/>
      <c r="H3" s="149"/>
      <c r="J3" s="150">
        <f>SUM(J4:J7)</f>
        <v>2795.6200000000003</v>
      </c>
      <c r="K3" s="150"/>
      <c r="L3" s="149" t="s">
        <v>90</v>
      </c>
    </row>
    <row r="4" spans="1:20">
      <c r="C4" s="146" t="s">
        <v>91</v>
      </c>
      <c r="J4" s="151">
        <v>0.04</v>
      </c>
      <c r="K4" s="151"/>
      <c r="L4" s="146" t="s">
        <v>90</v>
      </c>
      <c r="N4" s="147">
        <f>15000+2549028</f>
        <v>2564028</v>
      </c>
    </row>
    <row r="5" spans="1:20">
      <c r="C5" s="146" t="s">
        <v>92</v>
      </c>
      <c r="J5" s="151">
        <v>2315.21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2315.25</v>
      </c>
    </row>
    <row r="6" spans="1:20">
      <c r="C6" s="146" t="s">
        <v>93</v>
      </c>
      <c r="J6" s="151">
        <v>475.86</v>
      </c>
      <c r="K6" s="151"/>
      <c r="L6" s="146" t="s">
        <v>90</v>
      </c>
      <c r="N6" s="147">
        <f>159.68-1.53</f>
        <v>158.15</v>
      </c>
    </row>
    <row r="7" spans="1:20">
      <c r="C7" s="146" t="s">
        <v>94</v>
      </c>
      <c r="J7" s="151">
        <v>4.51</v>
      </c>
      <c r="K7" s="151"/>
      <c r="L7" s="146" t="s">
        <v>90</v>
      </c>
      <c r="N7" s="147" t="s">
        <v>95</v>
      </c>
      <c r="P7" s="152">
        <f>SUM(J6:J7)</f>
        <v>480.37</v>
      </c>
      <c r="Q7" s="153"/>
      <c r="S7" s="173">
        <f>+J4+J6+J7</f>
        <v>480.41</v>
      </c>
    </row>
    <row r="8" spans="1:20">
      <c r="F8" s="154"/>
      <c r="J8" s="151"/>
      <c r="K8" s="151"/>
    </row>
    <row r="9" spans="1:20" s="149" customFormat="1" ht="23.25">
      <c r="B9" s="149" t="s">
        <v>96</v>
      </c>
      <c r="J9" s="150">
        <f>+J10+J13</f>
        <v>2795.62</v>
      </c>
      <c r="K9" s="150"/>
      <c r="L9" s="149" t="s">
        <v>90</v>
      </c>
      <c r="N9" s="155"/>
    </row>
    <row r="10" spans="1:20">
      <c r="C10" s="156" t="s">
        <v>97</v>
      </c>
      <c r="D10" s="156"/>
      <c r="E10" s="156"/>
      <c r="F10" s="156"/>
      <c r="G10" s="156"/>
      <c r="H10" s="156"/>
      <c r="J10" s="157">
        <f>SUM(J11:J12)</f>
        <v>3148.1899999999996</v>
      </c>
      <c r="K10" s="157"/>
      <c r="L10" s="156" t="s">
        <v>90</v>
      </c>
      <c r="T10" s="153">
        <f>+J11-T5</f>
        <v>352.56999999999971</v>
      </c>
    </row>
    <row r="11" spans="1:20">
      <c r="D11" s="146" t="s">
        <v>98</v>
      </c>
      <c r="J11" s="151">
        <f>+I29</f>
        <v>2667.8199999999997</v>
      </c>
      <c r="K11" s="151"/>
      <c r="L11" s="146" t="s">
        <v>90</v>
      </c>
    </row>
    <row r="12" spans="1:20">
      <c r="D12" s="146" t="s">
        <v>99</v>
      </c>
      <c r="J12" s="151">
        <f>+I40</f>
        <v>480.37</v>
      </c>
      <c r="K12" s="151"/>
      <c r="L12" s="146" t="s">
        <v>90</v>
      </c>
      <c r="N12" s="147">
        <f>79.47+71.91+5.93-2.01</f>
        <v>155.30000000000001</v>
      </c>
      <c r="S12" s="173">
        <f>+J12+J15</f>
        <v>480.37</v>
      </c>
      <c r="T12" s="153">
        <f>+J6+J7</f>
        <v>480.37</v>
      </c>
    </row>
    <row r="13" spans="1:20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-352.56999999999965</v>
      </c>
      <c r="K13" s="157"/>
      <c r="L13" s="156" t="s">
        <v>90</v>
      </c>
      <c r="N13" s="159">
        <f>+J14+J11</f>
        <v>2315.25</v>
      </c>
    </row>
    <row r="14" spans="1:20">
      <c r="D14" s="146" t="s">
        <v>98</v>
      </c>
      <c r="J14" s="151">
        <f>+J5-I29+0.04</f>
        <v>-352.56999999999965</v>
      </c>
      <c r="K14" s="151"/>
      <c r="L14" s="146" t="s">
        <v>90</v>
      </c>
      <c r="N14" s="147">
        <f>+J15+J12</f>
        <v>480.37</v>
      </c>
    </row>
    <row r="15" spans="1:20">
      <c r="D15" s="146" t="s">
        <v>99</v>
      </c>
      <c r="J15" s="151">
        <f>+J4+J6+J7-J12-0.04</f>
        <v>2.0462798122622416E-14</v>
      </c>
      <c r="K15" s="151"/>
      <c r="L15" s="146" t="s">
        <v>90</v>
      </c>
    </row>
    <row r="16" spans="1:20">
      <c r="I16" s="151"/>
    </row>
    <row r="17" spans="2:12">
      <c r="B17" s="160" t="s">
        <v>49</v>
      </c>
      <c r="I17" s="151"/>
    </row>
    <row r="18" spans="2:12">
      <c r="C18" s="156" t="s">
        <v>285</v>
      </c>
      <c r="J18" s="157">
        <f>+J3</f>
        <v>2795.6200000000003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2662.16-6.97-0.31-9.78-2.03</f>
        <v>2643.0699999999997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12.71-0.43</f>
        <v>12.280000000000001</v>
      </c>
      <c r="H29" s="165">
        <f>SUM(G27:G29)</f>
        <v>2655.35</v>
      </c>
      <c r="I29" s="157">
        <f>+H26+H29</f>
        <v>2667.8199999999997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2.15-0.03-0.02</f>
        <v>2.1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5.8900000000000006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</f>
        <v>0</v>
      </c>
      <c r="H37" s="167"/>
      <c r="I37" s="168"/>
      <c r="L37" s="156"/>
    </row>
    <row r="38" spans="3:14">
      <c r="D38" s="146" t="s">
        <v>115</v>
      </c>
      <c r="G38" s="164">
        <f>593.85-8.19-29.28-31.02-0.26-64.14-0.03</f>
        <v>460.93000000000006</v>
      </c>
      <c r="H38" s="167"/>
      <c r="I38" s="168"/>
      <c r="L38" s="156"/>
    </row>
    <row r="39" spans="3:14">
      <c r="D39" s="146" t="s">
        <v>116</v>
      </c>
      <c r="G39" s="164">
        <f>19.07+0.31-1.96-0.01-3.7+0.42+2.03-0.01-3.4+0.43-0.34</f>
        <v>12.839999999999995</v>
      </c>
      <c r="H39" s="167"/>
      <c r="I39" s="168"/>
      <c r="L39" s="156"/>
    </row>
    <row r="40" spans="3:14">
      <c r="D40" s="146" t="s">
        <v>110</v>
      </c>
      <c r="G40" s="163">
        <f>0.08+0.03+0.32+0.1+0.15+0.03</f>
        <v>0.71000000000000008</v>
      </c>
      <c r="H40" s="165">
        <f>SUM(G37:G40)</f>
        <v>474.48</v>
      </c>
      <c r="I40" s="168">
        <f>+H35+H40</f>
        <v>480.37</v>
      </c>
      <c r="J40" s="170">
        <f>+I29+I40</f>
        <v>3148.1899999999996</v>
      </c>
      <c r="L40" s="156"/>
    </row>
    <row r="41" spans="3:14" ht="21.75" thickBot="1">
      <c r="C41" s="156" t="s">
        <v>286</v>
      </c>
      <c r="I41" s="171"/>
      <c r="J41" s="172">
        <f>+J18-J40</f>
        <v>-352.56999999999925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4.5000000000000009</v>
      </c>
    </row>
    <row r="46" spans="3:14" hidden="1">
      <c r="G46" s="152">
        <f>+J7-G45</f>
        <v>9.9999999999988987E-3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7 พ.ค. 2558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A1:S113"/>
  <sheetViews>
    <sheetView view="pageBreakPreview" zoomScale="90" zoomScaleNormal="90" zoomScaleSheetLayoutView="100" workbookViewId="0">
      <pane xSplit="1" ySplit="3" topLeftCell="B7" activePane="bottomRight" state="frozenSplit"/>
      <selection pane="topRight" activeCell="B1" sqref="B1"/>
      <selection pane="bottomLeft" activeCell="B4" sqref="B4"/>
      <selection pane="bottomRight" activeCell="J33" sqref="J33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279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281</v>
      </c>
      <c r="E3" s="1" t="s">
        <v>5</v>
      </c>
      <c r="F3" s="2" t="s">
        <v>201</v>
      </c>
      <c r="G3" s="3" t="s">
        <v>198</v>
      </c>
      <c r="H3" s="5" t="s">
        <v>282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159.01999999999998</v>
      </c>
      <c r="H4" s="16">
        <f>SUM(H5:H8)</f>
        <v>12050.67</v>
      </c>
      <c r="I4" s="17">
        <f>SUM(I5:I8)</f>
        <v>3140</v>
      </c>
      <c r="J4" s="18">
        <f>SUM(J5:J8)</f>
        <v>611.20000000000005</v>
      </c>
      <c r="K4" s="19">
        <f>SUM(K5:K8)</f>
        <v>2528.8000000000002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1+8.19+29.28+31.02+64.14</f>
        <v>133.63</v>
      </c>
      <c r="H5" s="27">
        <f>+F5+G5</f>
        <v>8578.5299999999988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25.39</v>
      </c>
      <c r="H6" s="27">
        <f>+F6+G6</f>
        <v>3187.54</v>
      </c>
      <c r="I6" s="33">
        <v>1950</v>
      </c>
      <c r="J6" s="34">
        <f>3.21+4.36+9.78</f>
        <v>17.350000000000001</v>
      </c>
      <c r="K6" s="35">
        <f>+I6-J6</f>
        <v>1932.65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21.169999999999998</v>
      </c>
      <c r="H9" s="16">
        <f>SUM(H10:H18)</f>
        <v>2799.9400000000005</v>
      </c>
      <c r="I9" s="17">
        <f>SUM(I15:I16)</f>
        <v>160</v>
      </c>
      <c r="J9" s="50">
        <f>SUM(J15:J16)</f>
        <v>45.730000000000004</v>
      </c>
      <c r="K9" s="51">
        <f>SUM(K15:K16)</f>
        <v>114.27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549.79999999999995</v>
      </c>
      <c r="D10" s="24">
        <f>SUM(O11:O17)</f>
        <v>10573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19.649999999999999</v>
      </c>
      <c r="D11" s="58">
        <f>+B11+C11</f>
        <v>724.95999999999992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724.95999999999992</v>
      </c>
    </row>
    <row r="12" spans="1:15" s="20" customFormat="1" ht="23.25">
      <c r="A12" s="21" t="s">
        <v>29</v>
      </c>
      <c r="B12" s="31">
        <v>730.91</v>
      </c>
      <c r="C12" s="32">
        <v>27.44</v>
      </c>
      <c r="D12" s="58">
        <f t="shared" ref="D12:D17" si="2">+B12+C12</f>
        <v>758.35</v>
      </c>
      <c r="E12" s="21" t="s">
        <v>30</v>
      </c>
      <c r="F12" s="31">
        <v>86.44</v>
      </c>
      <c r="G12" s="32">
        <v>2.4500000000000002</v>
      </c>
      <c r="H12" s="27">
        <f t="shared" si="0"/>
        <v>88.89</v>
      </c>
      <c r="I12" s="33"/>
      <c r="J12" s="43">
        <v>0</v>
      </c>
      <c r="K12" s="44">
        <f>+I12-J12</f>
        <v>0</v>
      </c>
      <c r="L12" s="57"/>
      <c r="O12" s="59">
        <f t="shared" si="1"/>
        <v>758.35</v>
      </c>
    </row>
    <row r="13" spans="1:15" s="20" customFormat="1" ht="23.25">
      <c r="A13" s="21" t="s">
        <v>31</v>
      </c>
      <c r="B13" s="31">
        <v>269.3</v>
      </c>
      <c r="C13" s="32">
        <v>6.29</v>
      </c>
      <c r="D13" s="58">
        <f t="shared" si="2"/>
        <v>275.59000000000003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275.59000000000003</v>
      </c>
    </row>
    <row r="14" spans="1:15" s="20" customFormat="1" ht="23.25">
      <c r="A14" s="21" t="s">
        <v>33</v>
      </c>
      <c r="B14" s="31">
        <v>6798</v>
      </c>
      <c r="C14" s="32">
        <v>402.31</v>
      </c>
      <c r="D14" s="58">
        <f t="shared" si="2"/>
        <v>7200.31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7200.31</v>
      </c>
    </row>
    <row r="15" spans="1:15" s="20" customFormat="1" ht="23.25">
      <c r="A15" s="21" t="s">
        <v>35</v>
      </c>
      <c r="B15" s="60">
        <v>87.09</v>
      </c>
      <c r="C15" s="32">
        <v>1.97</v>
      </c>
      <c r="D15" s="58">
        <f t="shared" si="2"/>
        <v>89.06</v>
      </c>
      <c r="E15" s="21" t="s">
        <v>36</v>
      </c>
      <c r="F15" s="31">
        <f>1042.74-0.05</f>
        <v>1042.69</v>
      </c>
      <c r="G15" s="32">
        <v>18.72</v>
      </c>
      <c r="H15" s="27">
        <f t="shared" si="0"/>
        <v>1061.4100000000001</v>
      </c>
      <c r="I15" s="33">
        <v>160</v>
      </c>
      <c r="J15" s="61">
        <f>36.42+6.97+0.31+2.03</f>
        <v>45.730000000000004</v>
      </c>
      <c r="K15" s="35">
        <f>+I15-J15-J16</f>
        <v>114.27</v>
      </c>
      <c r="L15" s="57"/>
      <c r="O15" s="59">
        <f t="shared" si="1"/>
        <v>89.06</v>
      </c>
    </row>
    <row r="16" spans="1:15" s="20" customFormat="1" ht="23.25">
      <c r="A16" s="21" t="s">
        <v>37</v>
      </c>
      <c r="B16" s="62">
        <v>490.18</v>
      </c>
      <c r="C16" s="32">
        <v>28.39</v>
      </c>
      <c r="D16" s="58">
        <f t="shared" si="2"/>
        <v>518.57000000000005</v>
      </c>
      <c r="E16" s="33"/>
      <c r="F16" s="31"/>
      <c r="G16" s="26"/>
      <c r="H16" s="27"/>
      <c r="I16" s="63"/>
      <c r="J16" s="64"/>
      <c r="K16" s="35"/>
      <c r="O16" s="59">
        <f t="shared" si="1"/>
        <v>518.57000000000005</v>
      </c>
    </row>
    <row r="17" spans="1:18" s="20" customFormat="1" ht="23.25">
      <c r="A17" s="21" t="s">
        <v>39</v>
      </c>
      <c r="B17" s="65">
        <v>942.41</v>
      </c>
      <c r="C17" s="32">
        <v>63.75</v>
      </c>
      <c r="D17" s="58">
        <f t="shared" si="2"/>
        <v>1006.16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1006.16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180.18999999999997</v>
      </c>
      <c r="H19" s="83">
        <f>+H4+H9</f>
        <v>14850.61</v>
      </c>
      <c r="I19" s="19">
        <f>+I4+I9</f>
        <v>3300</v>
      </c>
      <c r="J19" s="84">
        <f>+J4+J9</f>
        <v>656.93000000000006</v>
      </c>
      <c r="K19" s="51">
        <f>+K4+K9</f>
        <v>2643.07</v>
      </c>
      <c r="M19" s="20">
        <f>F20+G20</f>
        <v>2795.6200000000003</v>
      </c>
      <c r="O19" s="85"/>
    </row>
    <row r="20" spans="1:18" s="20" customFormat="1" ht="23.25">
      <c r="A20" s="86"/>
      <c r="B20" s="74"/>
      <c r="C20" s="71"/>
      <c r="D20" s="80"/>
      <c r="E20" s="87" t="s">
        <v>287</v>
      </c>
      <c r="F20" s="88">
        <f>B22-F19</f>
        <v>2426.0100000000002</v>
      </c>
      <c r="G20" s="89">
        <f>C22-G19</f>
        <v>369.61</v>
      </c>
      <c r="H20" s="90">
        <f>+D22-H19</f>
        <v>2795.619999999999</v>
      </c>
      <c r="I20" s="225" t="s">
        <v>289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288</v>
      </c>
      <c r="F21" s="95"/>
      <c r="G21" s="96"/>
      <c r="H21" s="97"/>
      <c r="I21" s="214" t="s">
        <v>290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-2795.619999999999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549.79999999999995</v>
      </c>
      <c r="D22" s="100">
        <f>SUM(D4:D10)</f>
        <v>17646.23</v>
      </c>
      <c r="E22" s="101" t="s">
        <v>46</v>
      </c>
      <c r="F22" s="102">
        <f>SUM(F19:F20)</f>
        <v>17096.43</v>
      </c>
      <c r="G22" s="103">
        <f>SUM(G19:G20)</f>
        <v>549.79999999999995</v>
      </c>
      <c r="H22" s="102">
        <f>+H19+H20</f>
        <v>17646.23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1"/>
      <c r="K25" s="201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2795.619999999999</v>
      </c>
      <c r="J26" s="111">
        <f>+F40</f>
        <v>493.12</v>
      </c>
      <c r="K26" s="112">
        <f>+I26-J26</f>
        <v>2302.4999999999991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4.66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486.05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493.12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>
        <f>+K44+K50+K55+K61</f>
        <v>0.33000000000000007</v>
      </c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1.79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0.48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</v>
      </c>
      <c r="L65" s="114"/>
      <c r="R65" s="105">
        <f>+R64+I67</f>
        <v>133.10999999999999</v>
      </c>
      <c r="S65" s="105">
        <f>+I51+I56+I57+I65+I67</f>
        <v>133.10999999999999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1.77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f>8.19+29.28+31.02+64.14</f>
        <v>132.63</v>
      </c>
      <c r="J67" s="114">
        <f>0.26+0.03</f>
        <v>0.29000000000000004</v>
      </c>
      <c r="K67" s="114">
        <f>+G67+H67-I67-J67</f>
        <v>460.93</v>
      </c>
      <c r="L67" s="114"/>
      <c r="Q67" s="125" t="s">
        <v>61</v>
      </c>
      <c r="R67" s="105">
        <f>+J59+J61+J67+J69</f>
        <v>0.54</v>
      </c>
    </row>
    <row r="68" spans="5:19" ht="18.75" customHeight="1">
      <c r="E68" s="113"/>
      <c r="F68" t="s">
        <v>64</v>
      </c>
      <c r="G68" s="120">
        <v>0</v>
      </c>
      <c r="H68" s="114">
        <f>3.21+4.36+9.78</f>
        <v>17.350000000000001</v>
      </c>
      <c r="I68" s="114">
        <f>3.21+1.8+2.56+9.78</f>
        <v>17.350000000000001</v>
      </c>
      <c r="J68" s="114"/>
      <c r="K68" s="114">
        <f t="shared" ref="K68" si="6">+G68+H68-I68-J68</f>
        <v>0</v>
      </c>
      <c r="L68" s="114"/>
      <c r="Q68" s="125" t="s">
        <v>60</v>
      </c>
      <c r="R68" s="105">
        <f>+I55+I61+I69</f>
        <v>20.72</v>
      </c>
    </row>
    <row r="69" spans="5:19" ht="18.75" customHeight="1" thickBot="1">
      <c r="E69" s="113"/>
      <c r="F69" t="s">
        <v>66</v>
      </c>
      <c r="G69" s="120">
        <v>0</v>
      </c>
      <c r="H69" s="114">
        <f>36.42+6.97+0.31+2.03</f>
        <v>45.730000000000004</v>
      </c>
      <c r="I69" s="114">
        <f>8.57+2.64-0.02+1.96+3.7+3.4+0.34</f>
        <v>20.59</v>
      </c>
      <c r="J69" s="105">
        <f>0.01+0.01</f>
        <v>0.02</v>
      </c>
      <c r="K69" s="114">
        <f>+G69+H69-I69-J69</f>
        <v>25.120000000000005</v>
      </c>
      <c r="L69" s="114"/>
      <c r="R69" s="105">
        <f>+R68+I71</f>
        <v>20.82</v>
      </c>
      <c r="S69" s="105">
        <f>+I55+I60+I61+I69+I71</f>
        <v>20.82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486.05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0.08+0.03+0.32+0.1+0.15+0.03</f>
        <v>0.71000000000000008</v>
      </c>
      <c r="I71" s="114">
        <f>0.07+0.01+0.02</f>
        <v>0.1</v>
      </c>
      <c r="J71"/>
      <c r="K71" s="114">
        <f>+G71+H71-I71</f>
        <v>4.66</v>
      </c>
      <c r="R71" s="105">
        <f>+H58+H59+H67+H68+H69</f>
        <v>656.93000000000006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132.63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493.12</v>
      </c>
      <c r="M73" s="105">
        <f>+K52+K71+K72</f>
        <v>4.97</v>
      </c>
      <c r="R73" s="105">
        <f>+I59+I68</f>
        <v>21.42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21.42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25.450000000000003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24.120000000000005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20.82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1932.65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114.27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2643.07</v>
      </c>
    </row>
    <row r="84" spans="5:11" ht="23.25" customHeight="1" thickBot="1">
      <c r="E84" s="121" t="s">
        <v>80</v>
      </c>
      <c r="K84" s="141">
        <f>+K73+K77+K83</f>
        <v>3148.19</v>
      </c>
    </row>
    <row r="85" spans="5:11" ht="18.75" customHeight="1" thickBot="1">
      <c r="E85" s="198" t="s">
        <v>280</v>
      </c>
      <c r="K85" s="142">
        <f>+H20</f>
        <v>2795.619999999999</v>
      </c>
    </row>
    <row r="86" spans="5:11" ht="23.25" customHeight="1" thickBot="1">
      <c r="E86" s="121" t="s">
        <v>82</v>
      </c>
      <c r="K86" s="143">
        <f>+K85-K84</f>
        <v>-352.57000000000107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7 พ.ค.2558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50"/>
  </sheetPr>
  <dimension ref="A1:T46"/>
  <sheetViews>
    <sheetView zoomScaleSheetLayoutView="75" workbookViewId="0">
      <selection activeCell="W9" sqref="W9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0" ht="26.25">
      <c r="A1" s="213" t="s">
        <v>271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0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0" ht="23.25">
      <c r="B3" s="149" t="s">
        <v>272</v>
      </c>
      <c r="C3" s="149"/>
      <c r="D3" s="149"/>
      <c r="E3" s="149"/>
      <c r="F3" s="149"/>
      <c r="G3" s="149"/>
      <c r="H3" s="149"/>
      <c r="J3" s="150">
        <f>SUM(J4:J7)</f>
        <v>2700.7699999999995</v>
      </c>
      <c r="K3" s="150"/>
      <c r="L3" s="149" t="s">
        <v>90</v>
      </c>
    </row>
    <row r="4" spans="1:20">
      <c r="C4" s="146" t="s">
        <v>91</v>
      </c>
      <c r="J4" s="151">
        <v>0.49</v>
      </c>
      <c r="K4" s="151"/>
      <c r="L4" s="146" t="s">
        <v>90</v>
      </c>
      <c r="N4" s="147">
        <f>15000+2549028</f>
        <v>2564028</v>
      </c>
    </row>
    <row r="5" spans="1:20">
      <c r="C5" s="146" t="s">
        <v>92</v>
      </c>
      <c r="J5" s="151">
        <v>2214.02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2214.5099999999998</v>
      </c>
    </row>
    <row r="6" spans="1:20">
      <c r="C6" s="146" t="s">
        <v>93</v>
      </c>
      <c r="J6" s="151">
        <v>481.79</v>
      </c>
      <c r="K6" s="151"/>
      <c r="L6" s="146" t="s">
        <v>90</v>
      </c>
      <c r="N6" s="147">
        <f>159.68-1.53</f>
        <v>158.15</v>
      </c>
    </row>
    <row r="7" spans="1:20">
      <c r="C7" s="146" t="s">
        <v>94</v>
      </c>
      <c r="J7" s="151">
        <v>4.47</v>
      </c>
      <c r="K7" s="151"/>
      <c r="L7" s="146" t="s">
        <v>90</v>
      </c>
      <c r="N7" s="147" t="s">
        <v>95</v>
      </c>
      <c r="P7" s="152">
        <f>SUM(J6:J7)</f>
        <v>486.26000000000005</v>
      </c>
      <c r="Q7" s="153"/>
      <c r="S7" s="173">
        <f>+J4+J6+J7</f>
        <v>486.75000000000006</v>
      </c>
    </row>
    <row r="8" spans="1:20">
      <c r="F8" s="154"/>
      <c r="J8" s="151"/>
      <c r="K8" s="151"/>
    </row>
    <row r="9" spans="1:20" s="149" customFormat="1" ht="23.25">
      <c r="B9" s="149" t="s">
        <v>96</v>
      </c>
      <c r="J9" s="150">
        <f>+J10+J13</f>
        <v>2700.77</v>
      </c>
      <c r="K9" s="150"/>
      <c r="L9" s="149" t="s">
        <v>90</v>
      </c>
      <c r="N9" s="155"/>
    </row>
    <row r="10" spans="1:20">
      <c r="C10" s="156" t="s">
        <v>97</v>
      </c>
      <c r="D10" s="156"/>
      <c r="E10" s="156"/>
      <c r="F10" s="156"/>
      <c r="G10" s="156"/>
      <c r="H10" s="156"/>
      <c r="J10" s="157">
        <f>SUM(J11:J12)</f>
        <v>3151.91</v>
      </c>
      <c r="K10" s="157"/>
      <c r="L10" s="156" t="s">
        <v>90</v>
      </c>
      <c r="T10" s="153">
        <f>+J11-T5</f>
        <v>455.77</v>
      </c>
    </row>
    <row r="11" spans="1:20">
      <c r="D11" s="146" t="s">
        <v>98</v>
      </c>
      <c r="J11" s="151">
        <f>+I29</f>
        <v>2670.2799999999997</v>
      </c>
      <c r="K11" s="151"/>
      <c r="L11" s="146" t="s">
        <v>90</v>
      </c>
    </row>
    <row r="12" spans="1:20">
      <c r="D12" s="146" t="s">
        <v>99</v>
      </c>
      <c r="J12" s="151">
        <f>+I40</f>
        <v>481.63000000000005</v>
      </c>
      <c r="K12" s="151"/>
      <c r="L12" s="146" t="s">
        <v>90</v>
      </c>
      <c r="N12" s="147">
        <f>79.47+71.91+5.93-2.01</f>
        <v>155.30000000000001</v>
      </c>
      <c r="S12" s="173">
        <f>+J12+J15</f>
        <v>486.72000000000008</v>
      </c>
      <c r="T12" s="153">
        <f>+J6+J7</f>
        <v>486.26000000000005</v>
      </c>
    </row>
    <row r="13" spans="1:20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-451.13999999999976</v>
      </c>
      <c r="K13" s="157"/>
      <c r="L13" s="156" t="s">
        <v>90</v>
      </c>
      <c r="N13" s="159">
        <f>+J14+J11</f>
        <v>2214.0500000000002</v>
      </c>
    </row>
    <row r="14" spans="1:20">
      <c r="D14" s="146" t="s">
        <v>98</v>
      </c>
      <c r="J14" s="151">
        <f>+J5-I29+0.03</f>
        <v>-456.22999999999979</v>
      </c>
      <c r="K14" s="151"/>
      <c r="L14" s="146" t="s">
        <v>90</v>
      </c>
      <c r="N14" s="147">
        <f>+J15+J12</f>
        <v>486.72000000000008</v>
      </c>
    </row>
    <row r="15" spans="1:20">
      <c r="D15" s="146" t="s">
        <v>99</v>
      </c>
      <c r="J15" s="151">
        <f>+J4+J6+J7-J12-0.03</f>
        <v>5.0900000000000043</v>
      </c>
      <c r="K15" s="151"/>
      <c r="L15" s="146" t="s">
        <v>90</v>
      </c>
    </row>
    <row r="16" spans="1:20">
      <c r="I16" s="151"/>
    </row>
    <row r="17" spans="2:12">
      <c r="B17" s="160" t="s">
        <v>49</v>
      </c>
      <c r="I17" s="151"/>
    </row>
    <row r="18" spans="2:12">
      <c r="C18" s="156" t="s">
        <v>273</v>
      </c>
      <c r="J18" s="157">
        <f>+J3</f>
        <v>2700.7699999999995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2662.16-6.97-0.31-9.78</f>
        <v>2645.1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12.69+0.88-0.44-0.42</f>
        <v>12.71</v>
      </c>
      <c r="H29" s="165">
        <f>SUM(G27:G29)</f>
        <v>2657.81</v>
      </c>
      <c r="I29" s="157">
        <f>+H26+H29</f>
        <v>2670.2799999999997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2.15-0.03-0.02</f>
        <v>2.1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5.8900000000000006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</f>
        <v>0</v>
      </c>
      <c r="H37" s="167"/>
      <c r="I37" s="168"/>
      <c r="L37" s="156"/>
    </row>
    <row r="38" spans="3:14">
      <c r="D38" s="146" t="s">
        <v>115</v>
      </c>
      <c r="G38" s="164">
        <f>593.85-8.19-29.28-31.02-0.26-64.14-0.03</f>
        <v>460.93000000000006</v>
      </c>
      <c r="H38" s="167"/>
      <c r="I38" s="168"/>
      <c r="L38" s="156"/>
    </row>
    <row r="39" spans="3:14">
      <c r="D39" s="146" t="s">
        <v>116</v>
      </c>
      <c r="G39" s="164">
        <f>19.07+0.31-1.96-0.01-3.7+0.42</f>
        <v>14.129999999999997</v>
      </c>
      <c r="H39" s="167"/>
      <c r="I39" s="168"/>
      <c r="L39" s="156"/>
    </row>
    <row r="40" spans="3:14">
      <c r="D40" s="146" t="s">
        <v>110</v>
      </c>
      <c r="G40" s="163">
        <f>0.08+0.03+0.32+0.1+0.15</f>
        <v>0.68</v>
      </c>
      <c r="H40" s="165">
        <f>SUM(G37:G40)</f>
        <v>475.74000000000007</v>
      </c>
      <c r="I40" s="168">
        <f>+H35+H40</f>
        <v>481.63000000000005</v>
      </c>
      <c r="J40" s="170">
        <f>+I29+I40</f>
        <v>3151.91</v>
      </c>
      <c r="L40" s="156"/>
    </row>
    <row r="41" spans="3:14" ht="21.75" thickBot="1">
      <c r="C41" s="156" t="s">
        <v>274</v>
      </c>
      <c r="I41" s="171"/>
      <c r="J41" s="172">
        <f>+J18-J40</f>
        <v>-451.14000000000033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4.4700000000000006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10 เม.ย. 2558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5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I75" sqref="I75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267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268</v>
      </c>
      <c r="E3" s="1" t="s">
        <v>5</v>
      </c>
      <c r="F3" s="2" t="s">
        <v>201</v>
      </c>
      <c r="G3" s="3" t="s">
        <v>198</v>
      </c>
      <c r="H3" s="5" t="s">
        <v>269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159.01999999999998</v>
      </c>
      <c r="H4" s="16">
        <f>SUM(H5:H8)</f>
        <v>12050.67</v>
      </c>
      <c r="I4" s="17">
        <f>SUM(I5:I8)</f>
        <v>3140</v>
      </c>
      <c r="J4" s="18">
        <f>SUM(J5:J8)</f>
        <v>611.20000000000005</v>
      </c>
      <c r="K4" s="19">
        <f>SUM(K5:K8)</f>
        <v>2528.8000000000002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1+8.19+29.28+31.02+64.14</f>
        <v>133.63</v>
      </c>
      <c r="H5" s="27">
        <f>+F5+G5</f>
        <v>8578.5299999999988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25.39</v>
      </c>
      <c r="H6" s="27">
        <f>+F6+G6</f>
        <v>3187.54</v>
      </c>
      <c r="I6" s="33">
        <v>1950</v>
      </c>
      <c r="J6" s="34">
        <f>3.21+4.36+9.78</f>
        <v>17.350000000000001</v>
      </c>
      <c r="K6" s="35">
        <f>+I6-J6</f>
        <v>1932.65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17.43</v>
      </c>
      <c r="H9" s="16">
        <f>SUM(H10:H18)</f>
        <v>2796.2</v>
      </c>
      <c r="I9" s="17">
        <f>SUM(I15:I16)</f>
        <v>160</v>
      </c>
      <c r="J9" s="50">
        <f>SUM(J15:J16)</f>
        <v>43.7</v>
      </c>
      <c r="K9" s="51">
        <f>SUM(K15:K16)</f>
        <v>116.3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451.21000000000004</v>
      </c>
      <c r="D10" s="24">
        <f>SUM(O11:O17)</f>
        <v>10474.410000000002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17.239999999999998</v>
      </c>
      <c r="D11" s="58">
        <f>+B11+C11</f>
        <v>722.55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722.55</v>
      </c>
    </row>
    <row r="12" spans="1:15" s="20" customFormat="1" ht="23.25">
      <c r="A12" s="21" t="s">
        <v>29</v>
      </c>
      <c r="B12" s="31">
        <v>730.91</v>
      </c>
      <c r="C12" s="32">
        <v>24.07</v>
      </c>
      <c r="D12" s="58">
        <f t="shared" ref="D12:D17" si="2">+B12+C12</f>
        <v>754.98</v>
      </c>
      <c r="E12" s="21" t="s">
        <v>30</v>
      </c>
      <c r="F12" s="31">
        <v>86.44</v>
      </c>
      <c r="G12" s="32">
        <v>1.22</v>
      </c>
      <c r="H12" s="27">
        <f t="shared" si="0"/>
        <v>87.66</v>
      </c>
      <c r="I12" s="33"/>
      <c r="J12" s="43">
        <v>0</v>
      </c>
      <c r="K12" s="44">
        <f>+I12-J12</f>
        <v>0</v>
      </c>
      <c r="L12" s="57"/>
      <c r="O12" s="59">
        <f t="shared" si="1"/>
        <v>754.98</v>
      </c>
    </row>
    <row r="13" spans="1:15" s="20" customFormat="1" ht="23.25">
      <c r="A13" s="21" t="s">
        <v>31</v>
      </c>
      <c r="B13" s="31">
        <v>269.3</v>
      </c>
      <c r="C13" s="32">
        <v>5.48</v>
      </c>
      <c r="D13" s="58">
        <f t="shared" si="2"/>
        <v>274.78000000000003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274.78000000000003</v>
      </c>
    </row>
    <row r="14" spans="1:15" s="20" customFormat="1" ht="23.25">
      <c r="A14" s="21" t="s">
        <v>33</v>
      </c>
      <c r="B14" s="31">
        <v>6798</v>
      </c>
      <c r="C14" s="32">
        <v>321.05</v>
      </c>
      <c r="D14" s="58">
        <f t="shared" si="2"/>
        <v>7119.05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7119.05</v>
      </c>
    </row>
    <row r="15" spans="1:15" s="20" customFormat="1" ht="23.25">
      <c r="A15" s="21" t="s">
        <v>35</v>
      </c>
      <c r="B15" s="60">
        <v>87.09</v>
      </c>
      <c r="C15" s="32">
        <v>1.69</v>
      </c>
      <c r="D15" s="58">
        <f t="shared" si="2"/>
        <v>88.78</v>
      </c>
      <c r="E15" s="21" t="s">
        <v>36</v>
      </c>
      <c r="F15" s="31">
        <f>1042.74-0.05</f>
        <v>1042.69</v>
      </c>
      <c r="G15" s="32">
        <f>11.77+5.66-1.22</f>
        <v>16.21</v>
      </c>
      <c r="H15" s="27">
        <f t="shared" si="0"/>
        <v>1058.9000000000001</v>
      </c>
      <c r="I15" s="33">
        <v>160</v>
      </c>
      <c r="J15" s="61">
        <f>36.42+6.97+0.31</f>
        <v>43.7</v>
      </c>
      <c r="K15" s="35">
        <f>+I15-J15-J16</f>
        <v>116.3</v>
      </c>
      <c r="L15" s="57"/>
      <c r="O15" s="59">
        <f t="shared" si="1"/>
        <v>88.78</v>
      </c>
    </row>
    <row r="16" spans="1:15" s="20" customFormat="1" ht="23.25">
      <c r="A16" s="21" t="s">
        <v>37</v>
      </c>
      <c r="B16" s="62">
        <v>490.18</v>
      </c>
      <c r="C16" s="32">
        <v>23.14</v>
      </c>
      <c r="D16" s="58">
        <f t="shared" si="2"/>
        <v>513.32000000000005</v>
      </c>
      <c r="E16" s="33"/>
      <c r="F16" s="31"/>
      <c r="G16" s="26"/>
      <c r="H16" s="27"/>
      <c r="I16" s="63"/>
      <c r="J16" s="64"/>
      <c r="K16" s="35"/>
      <c r="O16" s="59">
        <f t="shared" si="1"/>
        <v>513.32000000000005</v>
      </c>
    </row>
    <row r="17" spans="1:18" s="20" customFormat="1" ht="23.25">
      <c r="A17" s="21" t="s">
        <v>39</v>
      </c>
      <c r="B17" s="65">
        <v>942.41</v>
      </c>
      <c r="C17" s="32">
        <v>58.54</v>
      </c>
      <c r="D17" s="58">
        <f t="shared" si="2"/>
        <v>1000.9499999999999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1000.9499999999999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176.45</v>
      </c>
      <c r="H19" s="83">
        <f>+H4+H9</f>
        <v>14846.869999999999</v>
      </c>
      <c r="I19" s="19">
        <f>+I4+I9</f>
        <v>3300</v>
      </c>
      <c r="J19" s="84">
        <f>+J4+J9</f>
        <v>654.90000000000009</v>
      </c>
      <c r="K19" s="51">
        <f>+K4+K9</f>
        <v>2645.1000000000004</v>
      </c>
      <c r="M19" s="20">
        <f>F20+G20</f>
        <v>2700.7700000000004</v>
      </c>
      <c r="O19" s="85"/>
    </row>
    <row r="20" spans="1:18" s="20" customFormat="1" ht="23.25">
      <c r="A20" s="86"/>
      <c r="B20" s="74"/>
      <c r="C20" s="71"/>
      <c r="D20" s="80"/>
      <c r="E20" s="87" t="s">
        <v>275</v>
      </c>
      <c r="F20" s="88">
        <f>B22-F19</f>
        <v>2426.0100000000002</v>
      </c>
      <c r="G20" s="89">
        <f>C22-G19</f>
        <v>274.76000000000005</v>
      </c>
      <c r="H20" s="90">
        <f>+D22-H19</f>
        <v>2700.7700000000041</v>
      </c>
      <c r="I20" s="225" t="s">
        <v>277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276</v>
      </c>
      <c r="F21" s="95"/>
      <c r="G21" s="96"/>
      <c r="H21" s="97"/>
      <c r="I21" s="214" t="s">
        <v>278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-2700.7700000000041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451.21000000000004</v>
      </c>
      <c r="D22" s="100">
        <f>SUM(D4:D10)</f>
        <v>17547.640000000003</v>
      </c>
      <c r="E22" s="101" t="s">
        <v>46</v>
      </c>
      <c r="F22" s="102">
        <f>SUM(F19:F20)</f>
        <v>17096.43</v>
      </c>
      <c r="G22" s="103">
        <f>SUM(G19:G20)</f>
        <v>451.21000000000004</v>
      </c>
      <c r="H22" s="102">
        <f>+H19+H20</f>
        <v>17547.640000000003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0"/>
      <c r="K25" s="200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2700.7700000000041</v>
      </c>
      <c r="J26" s="111">
        <f>+F40</f>
        <v>494.81</v>
      </c>
      <c r="K26" s="112">
        <f>+I26-J26</f>
        <v>2205.9600000000041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4.63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487.77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494.81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>
        <f>+K44+K50+K55+K61</f>
        <v>0.33000000000000007</v>
      </c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1.79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0.48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</v>
      </c>
      <c r="L65" s="114"/>
      <c r="R65" s="105">
        <f>+R64+I67</f>
        <v>133.10999999999999</v>
      </c>
      <c r="S65" s="105">
        <f>+I51+I56+I57+I65+I67</f>
        <v>133.10999999999999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1.77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f>8.19+29.28+31.02+64.14</f>
        <v>132.63</v>
      </c>
      <c r="J67" s="114">
        <f>0.26+0.03</f>
        <v>0.29000000000000004</v>
      </c>
      <c r="K67" s="114">
        <f>+G67+H67-I67-J67</f>
        <v>460.93</v>
      </c>
      <c r="L67" s="114"/>
      <c r="Q67" s="125" t="s">
        <v>61</v>
      </c>
      <c r="R67" s="105">
        <f>+J59+J61+J67+J69</f>
        <v>0.53</v>
      </c>
    </row>
    <row r="68" spans="5:19" ht="18.75" customHeight="1">
      <c r="E68" s="113"/>
      <c r="F68" t="s">
        <v>64</v>
      </c>
      <c r="G68" s="120">
        <v>0</v>
      </c>
      <c r="H68" s="114">
        <f>3.21+4.36+9.78</f>
        <v>17.350000000000001</v>
      </c>
      <c r="I68" s="114">
        <f>3.21+1.8+2.56+9.78</f>
        <v>17.350000000000001</v>
      </c>
      <c r="J68" s="114"/>
      <c r="K68" s="114">
        <f t="shared" ref="K68" si="6">+G68+H68-I68-J68</f>
        <v>0</v>
      </c>
      <c r="L68" s="114"/>
      <c r="Q68" s="125" t="s">
        <v>60</v>
      </c>
      <c r="R68" s="105">
        <f>+I55+I61+I69</f>
        <v>16.98</v>
      </c>
    </row>
    <row r="69" spans="5:19" ht="18.75" customHeight="1" thickBot="1">
      <c r="E69" s="113"/>
      <c r="F69" t="s">
        <v>66</v>
      </c>
      <c r="G69" s="120">
        <v>0</v>
      </c>
      <c r="H69" s="114">
        <f>36.42+6.97+0.31</f>
        <v>43.7</v>
      </c>
      <c r="I69" s="114">
        <f>8.57+2.64-0.02+1.96+3.7</f>
        <v>16.850000000000001</v>
      </c>
      <c r="J69" s="105">
        <v>0.01</v>
      </c>
      <c r="K69" s="114">
        <f>+G69+H69-I69-J69</f>
        <v>26.84</v>
      </c>
      <c r="L69" s="114"/>
      <c r="R69" s="105">
        <f>+R68+I71</f>
        <v>17.080000000000002</v>
      </c>
      <c r="S69" s="105">
        <f>+I55+I60+I61+I69+I71</f>
        <v>17.080000000000002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487.77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0.08+0.03+0.32+0.1+0.15</f>
        <v>0.68</v>
      </c>
      <c r="I71" s="114">
        <f>0.07+0.01+0.02</f>
        <v>0.1</v>
      </c>
      <c r="J71"/>
      <c r="K71" s="114">
        <f>+G71+H71-I71</f>
        <v>4.63</v>
      </c>
      <c r="R71" s="105">
        <f>+H58+H59+H67+H68+H69</f>
        <v>654.90000000000009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132.63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494.80999999999995</v>
      </c>
      <c r="M73" s="105">
        <f>+K52+K71+K72</f>
        <v>4.9399999999999995</v>
      </c>
      <c r="R73" s="105">
        <f>+I59+I68</f>
        <v>21.42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21.42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27.17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25.840000000000003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17.080000000000002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1932.65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116.3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2645.1000000000004</v>
      </c>
    </row>
    <row r="84" spans="5:11" ht="23.25" customHeight="1" thickBot="1">
      <c r="E84" s="121" t="s">
        <v>80</v>
      </c>
      <c r="K84" s="141">
        <f>+K73+K77+K83</f>
        <v>3151.9100000000003</v>
      </c>
    </row>
    <row r="85" spans="5:11" ht="18.75" customHeight="1" thickBot="1">
      <c r="E85" s="198" t="s">
        <v>270</v>
      </c>
      <c r="K85" s="142">
        <f>+H20</f>
        <v>2700.7700000000041</v>
      </c>
    </row>
    <row r="86" spans="5:11" ht="23.25" customHeight="1" thickBot="1">
      <c r="E86" s="121" t="s">
        <v>82</v>
      </c>
      <c r="K86" s="143">
        <f>+K85-K84</f>
        <v>-451.13999999999623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เม.ย.2558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50"/>
  </sheetPr>
  <dimension ref="A1:T46"/>
  <sheetViews>
    <sheetView zoomScaleSheetLayoutView="75" workbookViewId="0">
      <selection activeCell="G41" sqref="G41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0" ht="26.25">
      <c r="A1" s="213" t="s">
        <v>255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0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0" ht="23.25">
      <c r="B3" s="149" t="s">
        <v>256</v>
      </c>
      <c r="C3" s="149"/>
      <c r="D3" s="149"/>
      <c r="E3" s="149"/>
      <c r="F3" s="149"/>
      <c r="G3" s="149"/>
      <c r="H3" s="149"/>
      <c r="J3" s="150">
        <f>SUM(J4:J7)</f>
        <v>2570.9299999999998</v>
      </c>
      <c r="K3" s="150"/>
      <c r="L3" s="149" t="s">
        <v>90</v>
      </c>
    </row>
    <row r="4" spans="1:20">
      <c r="C4" s="146" t="s">
        <v>91</v>
      </c>
      <c r="J4" s="151">
        <v>0.24</v>
      </c>
      <c r="K4" s="151"/>
      <c r="L4" s="146" t="s">
        <v>90</v>
      </c>
      <c r="N4" s="147">
        <f>15000+2549028</f>
        <v>2564028</v>
      </c>
    </row>
    <row r="5" spans="1:20">
      <c r="C5" s="146" t="s">
        <v>92</v>
      </c>
      <c r="J5" s="151">
        <v>2084.42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2084.66</v>
      </c>
    </row>
    <row r="6" spans="1:20">
      <c r="C6" s="146" t="s">
        <v>93</v>
      </c>
      <c r="J6" s="151">
        <v>481.95</v>
      </c>
      <c r="K6" s="151"/>
      <c r="L6" s="146" t="s">
        <v>90</v>
      </c>
      <c r="N6" s="147">
        <f>159.68-1.53</f>
        <v>158.15</v>
      </c>
    </row>
    <row r="7" spans="1:20">
      <c r="C7" s="146" t="s">
        <v>94</v>
      </c>
      <c r="J7" s="151">
        <v>4.32</v>
      </c>
      <c r="K7" s="151"/>
      <c r="L7" s="146" t="s">
        <v>90</v>
      </c>
      <c r="N7" s="147" t="s">
        <v>95</v>
      </c>
      <c r="P7" s="152">
        <f>SUM(J6:J7)</f>
        <v>486.27</v>
      </c>
      <c r="Q7" s="153"/>
      <c r="S7" s="173">
        <f>+J4+J6+J7</f>
        <v>486.51</v>
      </c>
    </row>
    <row r="8" spans="1:20">
      <c r="F8" s="154"/>
      <c r="J8" s="151"/>
      <c r="K8" s="151"/>
    </row>
    <row r="9" spans="1:20" s="149" customFormat="1" ht="23.25">
      <c r="B9" s="149" t="s">
        <v>96</v>
      </c>
      <c r="J9" s="150">
        <f>+J10+J13</f>
        <v>2570.9300000000003</v>
      </c>
      <c r="K9" s="150"/>
      <c r="L9" s="149" t="s">
        <v>90</v>
      </c>
      <c r="N9" s="155"/>
    </row>
    <row r="10" spans="1:20">
      <c r="C10" s="156" t="s">
        <v>97</v>
      </c>
      <c r="D10" s="156"/>
      <c r="E10" s="156"/>
      <c r="F10" s="156"/>
      <c r="G10" s="156"/>
      <c r="H10" s="156"/>
      <c r="J10" s="157">
        <f>SUM(J11:J12)</f>
        <v>3167.26</v>
      </c>
      <c r="K10" s="157"/>
      <c r="L10" s="156" t="s">
        <v>90</v>
      </c>
      <c r="T10" s="153">
        <f>+J11-T5</f>
        <v>596.13000000000011</v>
      </c>
    </row>
    <row r="11" spans="1:20">
      <c r="D11" s="146" t="s">
        <v>98</v>
      </c>
      <c r="J11" s="151">
        <f>+I29</f>
        <v>2680.79</v>
      </c>
      <c r="K11" s="151"/>
      <c r="L11" s="146" t="s">
        <v>90</v>
      </c>
    </row>
    <row r="12" spans="1:20">
      <c r="D12" s="146" t="s">
        <v>99</v>
      </c>
      <c r="J12" s="151">
        <f>+I40</f>
        <v>486.47</v>
      </c>
      <c r="K12" s="151"/>
      <c r="L12" s="146" t="s">
        <v>90</v>
      </c>
      <c r="N12" s="147">
        <f>79.47+71.91+5.93-2.01</f>
        <v>155.30000000000001</v>
      </c>
      <c r="S12" s="173">
        <f>+J12+J15</f>
        <v>486.46999999999997</v>
      </c>
      <c r="T12" s="153">
        <f>+J6+J7</f>
        <v>486.27</v>
      </c>
    </row>
    <row r="13" spans="1:20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-596.32999999999993</v>
      </c>
      <c r="K13" s="157"/>
      <c r="L13" s="156" t="s">
        <v>90</v>
      </c>
      <c r="N13" s="159">
        <f>+J14+J11</f>
        <v>2084.46</v>
      </c>
    </row>
    <row r="14" spans="1:20">
      <c r="D14" s="146" t="s">
        <v>98</v>
      </c>
      <c r="J14" s="151">
        <f>+J5-I29+0.04</f>
        <v>-596.32999999999993</v>
      </c>
      <c r="K14" s="151"/>
      <c r="L14" s="146" t="s">
        <v>90</v>
      </c>
      <c r="N14" s="147">
        <f>+J15+J12</f>
        <v>486.46999999999997</v>
      </c>
    </row>
    <row r="15" spans="1:20">
      <c r="D15" s="146" t="s">
        <v>99</v>
      </c>
      <c r="J15" s="151">
        <f>+J4+J6+J7-J12-0.04</f>
        <v>-3.6380620738185598E-14</v>
      </c>
      <c r="K15" s="151"/>
      <c r="L15" s="146" t="s">
        <v>90</v>
      </c>
    </row>
    <row r="16" spans="1:20">
      <c r="I16" s="151"/>
    </row>
    <row r="17" spans="2:12">
      <c r="B17" s="160" t="s">
        <v>49</v>
      </c>
      <c r="I17" s="151"/>
    </row>
    <row r="18" spans="2:12">
      <c r="C18" s="156" t="s">
        <v>257</v>
      </c>
      <c r="J18" s="157">
        <f>+J3</f>
        <v>2570.9299999999998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2662.16-6.97</f>
        <v>2655.19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12.69+0.88-0.44</f>
        <v>13.13</v>
      </c>
      <c r="H29" s="165">
        <f>SUM(G27:G29)</f>
        <v>2668.32</v>
      </c>
      <c r="I29" s="157">
        <f>+H26+H29</f>
        <v>2680.79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</f>
        <v>2.12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5.91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</f>
        <v>0</v>
      </c>
      <c r="H37" s="167"/>
      <c r="I37" s="168"/>
      <c r="L37" s="156"/>
    </row>
    <row r="38" spans="3:14">
      <c r="D38" s="146" t="s">
        <v>115</v>
      </c>
      <c r="G38" s="164">
        <f>593.85-8.19-29.28-31.02-0.26-64.14</f>
        <v>460.96000000000004</v>
      </c>
      <c r="H38" s="167"/>
      <c r="I38" s="168"/>
      <c r="L38" s="156"/>
    </row>
    <row r="39" spans="3:14">
      <c r="D39" s="146" t="s">
        <v>116</v>
      </c>
      <c r="G39" s="164">
        <f>15.16+3.01+3.08-2.64+0.44+0.02</f>
        <v>19.07</v>
      </c>
      <c r="H39" s="167"/>
      <c r="I39" s="168"/>
      <c r="L39" s="156"/>
    </row>
    <row r="40" spans="3:14">
      <c r="D40" s="146" t="s">
        <v>110</v>
      </c>
      <c r="G40" s="163">
        <f>0.08+0.03+0.32+0.1</f>
        <v>0.53</v>
      </c>
      <c r="H40" s="165">
        <f>SUM(G37:G40)</f>
        <v>480.56</v>
      </c>
      <c r="I40" s="168">
        <f>+H35+H40</f>
        <v>486.47</v>
      </c>
      <c r="J40" s="170">
        <f>+I29+I40</f>
        <v>3167.26</v>
      </c>
      <c r="L40" s="156"/>
    </row>
    <row r="41" spans="3:14" ht="21.75" thickBot="1">
      <c r="C41" s="156" t="s">
        <v>258</v>
      </c>
      <c r="I41" s="171"/>
      <c r="J41" s="172">
        <f>+J18-J40</f>
        <v>-596.33000000000038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4.32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10 มี.ค. 2558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X118"/>
  <sheetViews>
    <sheetView view="pageBreakPreview" zoomScale="110" zoomScaleNormal="90" zoomScaleSheetLayoutView="11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H11" sqref="H11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355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369</v>
      </c>
      <c r="J2" s="224"/>
      <c r="K2" s="224"/>
    </row>
    <row r="3" spans="1:15" ht="45" customHeight="1">
      <c r="A3" s="1" t="s">
        <v>5</v>
      </c>
      <c r="B3" s="2" t="s">
        <v>356</v>
      </c>
      <c r="C3" s="3" t="s">
        <v>198</v>
      </c>
      <c r="D3" s="4" t="s">
        <v>357</v>
      </c>
      <c r="E3" s="1" t="s">
        <v>5</v>
      </c>
      <c r="F3" s="2" t="s">
        <v>358</v>
      </c>
      <c r="G3" s="3" t="s">
        <v>198</v>
      </c>
      <c r="H3" s="5" t="s">
        <v>359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12573.02</v>
      </c>
      <c r="G4" s="15">
        <f>SUM(G5:G7)</f>
        <v>14.62</v>
      </c>
      <c r="H4" s="16">
        <f>SUM(H5:H8)</f>
        <v>12587.640000000001</v>
      </c>
      <c r="I4" s="17">
        <f>SUM(I5:I8)</f>
        <v>3450</v>
      </c>
      <c r="J4" s="18">
        <f>SUM(J5:J8)</f>
        <v>493.8</v>
      </c>
      <c r="K4" s="19">
        <f>SUM(K5:K8)</f>
        <v>2956.2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9028.68</v>
      </c>
      <c r="G5" s="26">
        <v>0</v>
      </c>
      <c r="H5" s="27">
        <f>+F5+G5</f>
        <v>9028.68</v>
      </c>
      <c r="I5" s="28">
        <v>650</v>
      </c>
      <c r="J5" s="29">
        <v>491.41</v>
      </c>
      <c r="K5" s="30">
        <f>+I5-J5</f>
        <v>158.58999999999997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3259.74</v>
      </c>
      <c r="G6" s="32">
        <v>14.62</v>
      </c>
      <c r="H6" s="27">
        <f>+F6+G6</f>
        <v>3274.3599999999997</v>
      </c>
      <c r="I6" s="33">
        <v>2000</v>
      </c>
      <c r="J6" s="34">
        <v>2.39</v>
      </c>
      <c r="K6" s="35">
        <f>+I6-J6</f>
        <v>1997.61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800</v>
      </c>
      <c r="J8" s="48"/>
      <c r="K8" s="35">
        <f>+I8-J8</f>
        <v>800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2815.46</v>
      </c>
      <c r="G9" s="15">
        <f>SUM(G10:G17)</f>
        <v>2.0099999999999998</v>
      </c>
      <c r="H9" s="16">
        <f>SUM(H10:H18)</f>
        <v>2817.4700000000003</v>
      </c>
      <c r="I9" s="17">
        <f>SUM(I15:I16)</f>
        <v>150</v>
      </c>
      <c r="J9" s="50">
        <f>SUM(J15:J16)</f>
        <v>29.1</v>
      </c>
      <c r="K9" s="51">
        <f>SUM(K15:K16)</f>
        <v>120.9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10976.78</v>
      </c>
      <c r="C10" s="53">
        <f>SUM(C11:C17)</f>
        <v>23.509999999999998</v>
      </c>
      <c r="D10" s="24">
        <f>SUM(O11:O17)</f>
        <v>11000.29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731.68</v>
      </c>
      <c r="C11" s="32">
        <v>0.65</v>
      </c>
      <c r="D11" s="58">
        <f>+B11+C11</f>
        <v>732.32999999999993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732.32999999999993</v>
      </c>
    </row>
    <row r="12" spans="1:15" s="20" customFormat="1" ht="23.25">
      <c r="A12" s="21" t="s">
        <v>29</v>
      </c>
      <c r="B12" s="31">
        <v>776.99</v>
      </c>
      <c r="C12" s="32">
        <v>2.2000000000000002</v>
      </c>
      <c r="D12" s="58">
        <f t="shared" ref="D12:D17" si="2">+B12+C12</f>
        <v>779.19</v>
      </c>
      <c r="E12" s="21" t="s">
        <v>30</v>
      </c>
      <c r="F12" s="31">
        <v>89.22</v>
      </c>
      <c r="G12" s="32">
        <v>0</v>
      </c>
      <c r="H12" s="27">
        <f t="shared" si="0"/>
        <v>89.22</v>
      </c>
      <c r="I12" s="33"/>
      <c r="J12" s="43">
        <v>0</v>
      </c>
      <c r="K12" s="44">
        <f>+I12-J12</f>
        <v>0</v>
      </c>
      <c r="L12" s="57"/>
      <c r="O12" s="59">
        <f t="shared" si="1"/>
        <v>779.19</v>
      </c>
    </row>
    <row r="13" spans="1:15" s="20" customFormat="1" ht="23.25">
      <c r="A13" s="21" t="s">
        <v>31</v>
      </c>
      <c r="B13" s="31">
        <v>280.43</v>
      </c>
      <c r="C13" s="32">
        <v>0.63</v>
      </c>
      <c r="D13" s="58">
        <f t="shared" si="2"/>
        <v>281.06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281.06</v>
      </c>
    </row>
    <row r="14" spans="1:15" s="20" customFormat="1" ht="23.25">
      <c r="A14" s="21" t="s">
        <v>33</v>
      </c>
      <c r="B14" s="31">
        <v>7501.77</v>
      </c>
      <c r="C14" s="32">
        <v>7.31</v>
      </c>
      <c r="D14" s="58">
        <f t="shared" si="2"/>
        <v>7509.0800000000008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7509.0800000000008</v>
      </c>
    </row>
    <row r="15" spans="1:15" s="20" customFormat="1" ht="23.25">
      <c r="A15" s="21" t="s">
        <v>35</v>
      </c>
      <c r="B15" s="60">
        <v>89.86</v>
      </c>
      <c r="C15" s="32">
        <v>0.08</v>
      </c>
      <c r="D15" s="58">
        <f t="shared" si="2"/>
        <v>89.94</v>
      </c>
      <c r="E15" s="21" t="s">
        <v>36</v>
      </c>
      <c r="F15" s="31">
        <v>1076.5999999999999</v>
      </c>
      <c r="G15" s="32">
        <v>2.0099999999999998</v>
      </c>
      <c r="H15" s="27">
        <f t="shared" si="0"/>
        <v>1078.6099999999999</v>
      </c>
      <c r="I15" s="33">
        <v>150</v>
      </c>
      <c r="J15" s="61">
        <f>29.09+0.01</f>
        <v>29.1</v>
      </c>
      <c r="K15" s="35">
        <f>+I15-J15-J16</f>
        <v>120.9</v>
      </c>
      <c r="L15" s="57"/>
      <c r="O15" s="59">
        <f t="shared" si="1"/>
        <v>89.94</v>
      </c>
    </row>
    <row r="16" spans="1:15" s="20" customFormat="1" ht="23.25">
      <c r="A16" s="21" t="s">
        <v>37</v>
      </c>
      <c r="B16" s="62">
        <v>539.63</v>
      </c>
      <c r="C16" s="32">
        <v>0.87</v>
      </c>
      <c r="D16" s="58">
        <f t="shared" si="2"/>
        <v>540.5</v>
      </c>
      <c r="E16" s="33"/>
      <c r="F16" s="31"/>
      <c r="G16" s="26"/>
      <c r="H16" s="27"/>
      <c r="I16" s="63"/>
      <c r="J16" s="64"/>
      <c r="K16" s="35"/>
      <c r="O16" s="59">
        <f t="shared" si="1"/>
        <v>540.5</v>
      </c>
    </row>
    <row r="17" spans="1:18" s="20" customFormat="1" ht="23.25">
      <c r="A17" s="21" t="s">
        <v>39</v>
      </c>
      <c r="B17" s="65">
        <v>1056.42</v>
      </c>
      <c r="C17" s="32">
        <v>11.77</v>
      </c>
      <c r="D17" s="58">
        <f t="shared" si="2"/>
        <v>1068.19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1068.19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15388.48</v>
      </c>
      <c r="G19" s="82">
        <f>+G4+G9</f>
        <v>16.63</v>
      </c>
      <c r="H19" s="83">
        <f>+H4+H9</f>
        <v>15405.11</v>
      </c>
      <c r="I19" s="19">
        <f>+I4+I9</f>
        <v>3600</v>
      </c>
      <c r="J19" s="84">
        <f>+J4+J9</f>
        <v>522.9</v>
      </c>
      <c r="K19" s="51">
        <f>+K4+K9</f>
        <v>3077.1</v>
      </c>
      <c r="M19" s="20">
        <f>F20+G20</f>
        <v>2668.4100000000026</v>
      </c>
      <c r="O19" s="85"/>
    </row>
    <row r="20" spans="1:18" s="20" customFormat="1" ht="23.25">
      <c r="A20" s="86"/>
      <c r="B20" s="74"/>
      <c r="C20" s="71"/>
      <c r="D20" s="80"/>
      <c r="E20" s="87" t="s">
        <v>365</v>
      </c>
      <c r="F20" s="88">
        <f>B22-F19</f>
        <v>2661.5300000000025</v>
      </c>
      <c r="G20" s="89">
        <f>C22-G19</f>
        <v>6.879999999999999</v>
      </c>
      <c r="H20" s="90">
        <f>+D22-H19</f>
        <v>2668.41</v>
      </c>
      <c r="I20" s="225" t="s">
        <v>367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366</v>
      </c>
      <c r="F21" s="95"/>
      <c r="G21" s="96"/>
      <c r="H21" s="97"/>
      <c r="I21" s="214" t="s">
        <v>368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-2668.41</v>
      </c>
    </row>
    <row r="22" spans="1:18" s="20" customFormat="1" ht="23.25">
      <c r="A22" s="98" t="s">
        <v>45</v>
      </c>
      <c r="B22" s="99">
        <f>SUM(B4:B10)</f>
        <v>18050.010000000002</v>
      </c>
      <c r="C22" s="100">
        <f>SUM(C4:C10)</f>
        <v>23.509999999999998</v>
      </c>
      <c r="D22" s="100">
        <f>SUM(D4:D10)</f>
        <v>18073.52</v>
      </c>
      <c r="E22" s="101" t="s">
        <v>46</v>
      </c>
      <c r="F22" s="102">
        <f>SUM(F19:F20)</f>
        <v>18050.010000000002</v>
      </c>
      <c r="G22" s="103">
        <f>SUM(G19:G20)</f>
        <v>23.509999999999998</v>
      </c>
      <c r="H22" s="102">
        <f>+H19+H20</f>
        <v>18073.52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12"/>
      <c r="K25" s="212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2668.41</v>
      </c>
      <c r="J26" s="111">
        <f>+F41</f>
        <v>582.79</v>
      </c>
      <c r="K26" s="112">
        <f>+I26-J26</f>
        <v>2085.62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+K76</f>
        <v>6.0500000000000007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hidden="1" customHeight="1">
      <c r="A34" s="119"/>
      <c r="C34" s="120"/>
      <c r="E34" s="121" t="s">
        <v>52</v>
      </c>
      <c r="F34" s="118">
        <f>+K48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+K53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+K58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+K63</f>
        <v>0.28000000000000003</v>
      </c>
      <c r="G37" s="110"/>
      <c r="H37" s="122"/>
    </row>
    <row r="38" spans="1:16" ht="23.25">
      <c r="A38" s="119"/>
      <c r="C38" s="120"/>
      <c r="E38" s="121" t="s">
        <v>56</v>
      </c>
      <c r="F38" s="114">
        <f>K67</f>
        <v>1.69</v>
      </c>
      <c r="G38" s="110"/>
      <c r="H38" s="122"/>
    </row>
    <row r="39" spans="1:16" ht="23.25">
      <c r="A39" s="119"/>
      <c r="C39" s="120"/>
      <c r="E39" s="121" t="s">
        <v>204</v>
      </c>
      <c r="F39" s="114">
        <f>+K71</f>
        <v>53.45000000000001</v>
      </c>
      <c r="G39" s="110"/>
      <c r="H39" s="122"/>
    </row>
    <row r="40" spans="1:16" ht="23.25">
      <c r="A40" s="119"/>
      <c r="C40" s="120"/>
      <c r="E40" s="121" t="s">
        <v>361</v>
      </c>
      <c r="F40" s="114">
        <f>+K75</f>
        <v>521.01</v>
      </c>
      <c r="G40" s="110"/>
      <c r="H40" s="122"/>
    </row>
    <row r="41" spans="1:16" ht="21.75" customHeight="1" thickBot="1">
      <c r="A41" s="119"/>
      <c r="C41" s="120"/>
      <c r="E41" s="121" t="s">
        <v>57</v>
      </c>
      <c r="F41" s="123">
        <f>SUM(F32:F40)</f>
        <v>582.79</v>
      </c>
      <c r="G41" s="115"/>
      <c r="H41" s="109"/>
    </row>
    <row r="42" spans="1:16" ht="23.25">
      <c r="A42" s="119"/>
      <c r="C42" s="120"/>
      <c r="E42" s="113"/>
      <c r="G42" s="124" t="s">
        <v>58</v>
      </c>
      <c r="H42" s="125" t="s">
        <v>59</v>
      </c>
      <c r="I42" s="125" t="s">
        <v>60</v>
      </c>
      <c r="J42" s="125" t="s">
        <v>61</v>
      </c>
      <c r="K42" s="125" t="s">
        <v>62</v>
      </c>
    </row>
    <row r="43" spans="1:16" ht="17.25" hidden="1" customHeight="1">
      <c r="A43" s="126"/>
      <c r="C43" s="120"/>
      <c r="F43" t="s">
        <v>63</v>
      </c>
      <c r="G43" s="104">
        <v>1.47</v>
      </c>
      <c r="H43" s="114">
        <v>0</v>
      </c>
      <c r="I43" s="114">
        <v>0</v>
      </c>
      <c r="J43" s="114">
        <v>1.47</v>
      </c>
      <c r="K43" s="114">
        <f>+G43+H43-I43-J43</f>
        <v>0</v>
      </c>
    </row>
    <row r="44" spans="1:16" ht="21" hidden="1">
      <c r="A44" s="126"/>
      <c r="C44" s="120"/>
      <c r="E44" s="121"/>
      <c r="F44" t="s">
        <v>64</v>
      </c>
      <c r="G44" s="104">
        <f>71.52-0.01</f>
        <v>71.509999999999991</v>
      </c>
      <c r="H44" s="114">
        <v>0</v>
      </c>
      <c r="I44" s="114">
        <v>0</v>
      </c>
      <c r="J44" s="114">
        <f>71.52-0.01</f>
        <v>71.509999999999991</v>
      </c>
      <c r="K44" s="114">
        <f>+G44+H44-I44-J44</f>
        <v>0</v>
      </c>
      <c r="L44" t="s">
        <v>65</v>
      </c>
    </row>
    <row r="45" spans="1:16" ht="24" hidden="1" thickBot="1">
      <c r="A45" s="119"/>
      <c r="C45" s="120"/>
      <c r="E45" s="121" t="s">
        <v>52</v>
      </c>
      <c r="F45" t="s">
        <v>66</v>
      </c>
      <c r="G45" s="120">
        <v>0.04</v>
      </c>
      <c r="H45" s="114">
        <v>0</v>
      </c>
      <c r="I45" s="114">
        <v>0</v>
      </c>
      <c r="J45" s="114">
        <v>0.04</v>
      </c>
      <c r="K45" s="114">
        <f>+G45+H45-I45-J45</f>
        <v>0</v>
      </c>
      <c r="L45" s="127" t="s">
        <v>67</v>
      </c>
      <c r="P45" t="s">
        <v>68</v>
      </c>
    </row>
    <row r="46" spans="1:16" ht="21.75" hidden="1" thickBot="1">
      <c r="A46" s="126"/>
      <c r="E46" s="121"/>
      <c r="F46" s="128" t="s">
        <v>50</v>
      </c>
      <c r="G46" s="120"/>
      <c r="H46" s="114">
        <v>0</v>
      </c>
      <c r="I46" s="114">
        <v>0</v>
      </c>
      <c r="J46" s="114">
        <v>0</v>
      </c>
      <c r="K46" s="114">
        <f>+G46+H46-I46-J46</f>
        <v>0</v>
      </c>
      <c r="L46" s="114"/>
    </row>
    <row r="47" spans="1:16" ht="21.75" hidden="1" thickBot="1">
      <c r="A47" s="126"/>
      <c r="E47" s="121"/>
      <c r="F47" s="129" t="s">
        <v>51</v>
      </c>
      <c r="G47" s="120"/>
      <c r="H47" s="114"/>
      <c r="I47" s="114"/>
      <c r="J47" s="114"/>
      <c r="K47" s="114">
        <f>+G47+H47-I47-J47</f>
        <v>0</v>
      </c>
      <c r="L47" s="114"/>
    </row>
    <row r="48" spans="1:16" ht="21.75" hidden="1" thickBot="1">
      <c r="A48" s="126"/>
      <c r="C48" s="120"/>
      <c r="E48" s="121"/>
      <c r="G48" s="130"/>
      <c r="H48" s="114"/>
      <c r="I48" s="114"/>
      <c r="J48"/>
      <c r="K48" s="131">
        <f>SUM(K43:K47)</f>
        <v>0</v>
      </c>
    </row>
    <row r="49" spans="5:18" hidden="1">
      <c r="F49" t="s">
        <v>63</v>
      </c>
      <c r="G49" s="120">
        <f>17.91+0.08</f>
        <v>17.989999999999998</v>
      </c>
      <c r="H49" s="114">
        <v>8</v>
      </c>
      <c r="I49" s="114">
        <f>5+0.73</f>
        <v>5.73</v>
      </c>
      <c r="J49" s="114">
        <f>17.99+2.27</f>
        <v>20.259999999999998</v>
      </c>
      <c r="K49" s="114">
        <f>+G49+H49-I49-J49</f>
        <v>0</v>
      </c>
    </row>
    <row r="50" spans="5:18" ht="17.25" hidden="1" customHeight="1">
      <c r="E50" s="121" t="s">
        <v>53</v>
      </c>
      <c r="F50" t="s">
        <v>64</v>
      </c>
      <c r="G50" s="132">
        <v>0.69</v>
      </c>
      <c r="H50" s="114"/>
      <c r="I50" s="114"/>
      <c r="J50" s="114">
        <v>0.69</v>
      </c>
      <c r="K50" s="114">
        <f>+G50+H50-I50-J50</f>
        <v>0</v>
      </c>
    </row>
    <row r="51" spans="5:18" ht="17.25" hidden="1" customHeight="1">
      <c r="E51" s="113"/>
      <c r="F51" t="s">
        <v>66</v>
      </c>
      <c r="G51" s="120">
        <v>0.01</v>
      </c>
      <c r="H51" s="114"/>
      <c r="I51" s="114">
        <v>0</v>
      </c>
      <c r="J51" s="114">
        <v>0.01</v>
      </c>
      <c r="K51" s="114">
        <f>+G51+H51-I51-J51</f>
        <v>0</v>
      </c>
    </row>
    <row r="52" spans="5:18" ht="18.75" hidden="1" customHeight="1" thickBot="1">
      <c r="E52" s="113"/>
      <c r="F52" s="128" t="s">
        <v>50</v>
      </c>
      <c r="G52" s="120"/>
      <c r="H52" s="114">
        <v>0</v>
      </c>
      <c r="I52" s="114">
        <v>0</v>
      </c>
      <c r="J52" s="114">
        <v>0</v>
      </c>
      <c r="K52" s="114">
        <f>+H52-I52-J52</f>
        <v>0</v>
      </c>
      <c r="L52" s="114">
        <f>SUM(K49:K52)</f>
        <v>0</v>
      </c>
    </row>
    <row r="53" spans="5:18" ht="18.75" hidden="1" customHeight="1" thickBot="1">
      <c r="E53" s="113"/>
      <c r="G53" s="120"/>
      <c r="H53" s="114"/>
      <c r="I53" s="114"/>
      <c r="J53"/>
      <c r="K53" s="131">
        <f>SUM(K49:K52)</f>
        <v>0</v>
      </c>
      <c r="M53" s="105">
        <f>+K49+K50+K51</f>
        <v>0</v>
      </c>
      <c r="R53" s="105">
        <f>+G45+G51+G56+G62</f>
        <v>0.48000000000000004</v>
      </c>
    </row>
    <row r="54" spans="5:18" ht="21" hidden="1">
      <c r="E54" s="121" t="s">
        <v>69</v>
      </c>
      <c r="F54" t="s">
        <v>63</v>
      </c>
      <c r="G54" s="120">
        <v>0</v>
      </c>
      <c r="H54" s="114"/>
      <c r="I54" s="114"/>
      <c r="J54" s="114">
        <v>0</v>
      </c>
      <c r="K54" s="114">
        <f>+G54+H54-I54-J54</f>
        <v>0</v>
      </c>
    </row>
    <row r="55" spans="5:18" ht="15.75" hidden="1" customHeight="1">
      <c r="E55" s="113"/>
      <c r="F55" t="s">
        <v>64</v>
      </c>
      <c r="G55" s="120">
        <v>0</v>
      </c>
      <c r="H55" s="114">
        <v>0</v>
      </c>
      <c r="I55" s="114">
        <v>0</v>
      </c>
      <c r="J55" s="114"/>
      <c r="K55" s="114">
        <f t="shared" ref="K55:K57" si="3">+G55+H55-I55-J55</f>
        <v>0</v>
      </c>
    </row>
    <row r="56" spans="5:18" ht="15.75" hidden="1" customHeight="1">
      <c r="E56" s="113"/>
      <c r="F56" t="s">
        <v>66</v>
      </c>
      <c r="G56" s="120">
        <v>0.15</v>
      </c>
      <c r="H56" s="114">
        <v>0</v>
      </c>
      <c r="I56" s="114">
        <v>0.13</v>
      </c>
      <c r="J56" s="114">
        <v>0.02</v>
      </c>
      <c r="K56" s="114">
        <f t="shared" si="3"/>
        <v>0</v>
      </c>
    </row>
    <row r="57" spans="5:18" ht="15.75" hidden="1" customHeight="1" thickBot="1">
      <c r="E57" s="113"/>
      <c r="F57" s="128" t="s">
        <v>50</v>
      </c>
      <c r="G57" s="120"/>
      <c r="H57" s="114">
        <v>0</v>
      </c>
      <c r="I57" s="114">
        <v>0</v>
      </c>
      <c r="J57" s="114">
        <v>0</v>
      </c>
      <c r="K57" s="114">
        <f t="shared" si="3"/>
        <v>0</v>
      </c>
      <c r="L57" s="114">
        <f>SUM(K54:K57)</f>
        <v>0</v>
      </c>
      <c r="M57" s="105">
        <f>SUM(K54:K57)</f>
        <v>0</v>
      </c>
    </row>
    <row r="58" spans="5:18" ht="18.75" hidden="1" customHeight="1" thickBot="1">
      <c r="E58" s="113"/>
      <c r="F58" s="128"/>
      <c r="G58" s="120"/>
      <c r="H58" s="114"/>
      <c r="I58" s="114"/>
      <c r="J58" s="114"/>
      <c r="K58" s="131">
        <f>SUM(K54:K57)</f>
        <v>0</v>
      </c>
      <c r="L58" s="114"/>
    </row>
    <row r="59" spans="5:18" ht="18.75" hidden="1" customHeight="1">
      <c r="E59" s="121" t="s">
        <v>70</v>
      </c>
      <c r="F59" t="s">
        <v>63</v>
      </c>
      <c r="G59" s="120">
        <v>0</v>
      </c>
      <c r="H59" s="114">
        <v>0</v>
      </c>
      <c r="I59" s="114"/>
      <c r="J59" s="114">
        <v>0</v>
      </c>
      <c r="K59" s="114">
        <f>+G59+H59-I59-J59</f>
        <v>0</v>
      </c>
      <c r="L59" s="114"/>
    </row>
    <row r="60" spans="5:18" ht="18.75" hidden="1" customHeight="1">
      <c r="E60" s="113"/>
      <c r="F60" t="s">
        <v>64</v>
      </c>
      <c r="G60" s="120">
        <v>0</v>
      </c>
      <c r="H60" s="114">
        <v>0</v>
      </c>
      <c r="I60" s="114">
        <v>0</v>
      </c>
      <c r="J60" s="114">
        <v>0</v>
      </c>
      <c r="K60" s="114">
        <f t="shared" ref="K60" si="4">+G60+H60-I60-J60</f>
        <v>0</v>
      </c>
      <c r="L60" s="114"/>
    </row>
    <row r="61" spans="5:18" ht="18.75" hidden="1" customHeight="1">
      <c r="E61" s="113"/>
      <c r="F61" s="133" t="s">
        <v>71</v>
      </c>
      <c r="G61" s="120">
        <v>0</v>
      </c>
      <c r="H61" s="114">
        <v>0</v>
      </c>
      <c r="I61" s="114">
        <v>0</v>
      </c>
      <c r="J61" s="114">
        <v>0</v>
      </c>
      <c r="K61" s="114">
        <f>+G61+H61-I61-J61</f>
        <v>0</v>
      </c>
      <c r="L61" s="114"/>
    </row>
    <row r="62" spans="5:18" ht="18.75" customHeight="1" thickBot="1">
      <c r="E62" s="121" t="s">
        <v>70</v>
      </c>
      <c r="F62" t="s">
        <v>66</v>
      </c>
      <c r="G62" s="120">
        <v>0.28000000000000003</v>
      </c>
      <c r="H62" s="114">
        <v>0</v>
      </c>
      <c r="I62" s="114"/>
      <c r="J62" s="105">
        <v>0</v>
      </c>
      <c r="K62" s="114">
        <f>+G62+H62-I62-J62</f>
        <v>0.28000000000000003</v>
      </c>
      <c r="L62" s="114"/>
      <c r="R62" s="105"/>
    </row>
    <row r="63" spans="5:18" ht="18.75" customHeight="1" thickBot="1">
      <c r="E63" s="113"/>
      <c r="G63" s="120"/>
      <c r="H63" s="114"/>
      <c r="I63" s="114"/>
      <c r="K63" s="134">
        <f>SUM(K59:K62)</f>
        <v>0.28000000000000003</v>
      </c>
      <c r="L63" s="114"/>
    </row>
    <row r="64" spans="5:18" ht="18.75" hidden="1" customHeight="1">
      <c r="E64" s="121" t="s">
        <v>72</v>
      </c>
      <c r="F64" t="s">
        <v>63</v>
      </c>
      <c r="G64" s="120">
        <v>0</v>
      </c>
      <c r="H64" s="114">
        <v>0</v>
      </c>
      <c r="I64" s="114">
        <v>0</v>
      </c>
      <c r="J64" s="114">
        <v>0</v>
      </c>
      <c r="K64" s="114">
        <f>+G64+H64-I64-J64</f>
        <v>0</v>
      </c>
      <c r="L64" s="114"/>
      <c r="Q64" s="125"/>
      <c r="R64" s="105"/>
    </row>
    <row r="65" spans="5:24" ht="18.75" hidden="1" customHeight="1">
      <c r="E65" s="113"/>
      <c r="F65" t="s">
        <v>64</v>
      </c>
      <c r="G65" s="120">
        <v>0</v>
      </c>
      <c r="H65" s="114">
        <v>0</v>
      </c>
      <c r="I65" s="114">
        <v>0</v>
      </c>
      <c r="J65" s="114">
        <v>0</v>
      </c>
      <c r="K65" s="114">
        <f t="shared" ref="K65" si="5">+G65+H65-I65-J65</f>
        <v>0</v>
      </c>
      <c r="L65" s="114"/>
      <c r="Q65" s="125"/>
      <c r="R65" s="105"/>
    </row>
    <row r="66" spans="5:24" ht="18.75" customHeight="1" thickBot="1">
      <c r="E66" s="121" t="s">
        <v>72</v>
      </c>
      <c r="F66" t="s">
        <v>66</v>
      </c>
      <c r="G66" s="120">
        <v>1.69</v>
      </c>
      <c r="H66" s="114">
        <v>0</v>
      </c>
      <c r="I66" s="114">
        <v>0</v>
      </c>
      <c r="J66" s="114">
        <v>0</v>
      </c>
      <c r="K66" s="114">
        <f>+G66+H66-I66-J66</f>
        <v>1.69</v>
      </c>
      <c r="L66" s="114"/>
      <c r="R66" s="105"/>
      <c r="S66" s="105"/>
    </row>
    <row r="67" spans="5:24" ht="18.75" customHeight="1" thickBot="1">
      <c r="E67" s="113"/>
      <c r="G67" s="120"/>
      <c r="H67" s="114"/>
      <c r="I67" s="114"/>
      <c r="J67" s="114"/>
      <c r="K67" s="134">
        <f>SUM(K64:K66)</f>
        <v>1.69</v>
      </c>
      <c r="L67" s="114"/>
    </row>
    <row r="68" spans="5:24" ht="18.75" customHeight="1">
      <c r="E68" s="121" t="s">
        <v>204</v>
      </c>
      <c r="F68" t="s">
        <v>63</v>
      </c>
      <c r="G68" s="120">
        <v>14.76</v>
      </c>
      <c r="H68" s="114">
        <v>0</v>
      </c>
      <c r="I68" s="114">
        <v>0</v>
      </c>
      <c r="J68" s="114">
        <v>1.7</v>
      </c>
      <c r="K68" s="114">
        <f>+G68+H68-I68-J68</f>
        <v>13.06</v>
      </c>
      <c r="L68" s="114"/>
      <c r="Q68" s="205">
        <f>+H68+H69+H70</f>
        <v>0</v>
      </c>
      <c r="R68" s="105">
        <f>+I64+I68</f>
        <v>0</v>
      </c>
    </row>
    <row r="69" spans="5:24" ht="18.75" customHeight="1">
      <c r="E69" s="113"/>
      <c r="F69" t="s">
        <v>64</v>
      </c>
      <c r="G69" s="120">
        <v>54.35</v>
      </c>
      <c r="H69" s="114">
        <v>0</v>
      </c>
      <c r="I69" s="114">
        <v>14.62</v>
      </c>
      <c r="J69" s="114">
        <v>0</v>
      </c>
      <c r="K69" s="114">
        <f t="shared" ref="K69" si="6">+G69+H69-I69-J69</f>
        <v>39.730000000000004</v>
      </c>
      <c r="L69" s="114"/>
      <c r="Q69" s="125"/>
      <c r="R69" s="105">
        <f>+I60+I65+I69</f>
        <v>14.62</v>
      </c>
    </row>
    <row r="70" spans="5:24" ht="18.75" customHeight="1" thickBot="1">
      <c r="E70" s="113"/>
      <c r="F70" t="s">
        <v>66</v>
      </c>
      <c r="G70" s="120">
        <f>7.7-6.93</f>
        <v>0.77000000000000046</v>
      </c>
      <c r="H70" s="114">
        <v>0</v>
      </c>
      <c r="I70" s="114">
        <v>0.05</v>
      </c>
      <c r="J70" s="114">
        <v>0.06</v>
      </c>
      <c r="K70" s="114">
        <f>+G70+H70-I70-J70</f>
        <v>0.66000000000000036</v>
      </c>
      <c r="L70" s="114"/>
      <c r="R70" s="105">
        <f>+I66+I70+I76</f>
        <v>0.11</v>
      </c>
      <c r="S70" s="105"/>
    </row>
    <row r="71" spans="5:24" ht="18.75" customHeight="1" thickBot="1">
      <c r="E71" s="113"/>
      <c r="G71" s="120"/>
      <c r="H71" s="114"/>
      <c r="I71" s="114"/>
      <c r="J71" s="114"/>
      <c r="K71" s="134">
        <f>SUM(K68:K70)</f>
        <v>53.45000000000001</v>
      </c>
      <c r="L71" s="114"/>
      <c r="R71" s="105">
        <f>SUM(R68:R70)</f>
        <v>14.729999999999999</v>
      </c>
      <c r="T71" s="105">
        <f>+J45+J61+J62+J64+J66+J68+J70</f>
        <v>1.8</v>
      </c>
    </row>
    <row r="72" spans="5:24" ht="18.75" customHeight="1">
      <c r="E72" s="121" t="s">
        <v>361</v>
      </c>
      <c r="F72" t="s">
        <v>63</v>
      </c>
      <c r="G72" s="120">
        <v>0</v>
      </c>
      <c r="H72" s="114">
        <v>491.41</v>
      </c>
      <c r="I72" s="114">
        <v>0</v>
      </c>
      <c r="J72" s="114">
        <v>0</v>
      </c>
      <c r="K72" s="114">
        <f>+G72+H72-I72-J72</f>
        <v>491.41</v>
      </c>
      <c r="L72" s="114"/>
      <c r="R72" s="105"/>
      <c r="T72" s="105"/>
    </row>
    <row r="73" spans="5:24" ht="18.75" customHeight="1">
      <c r="E73" s="113"/>
      <c r="F73" t="s">
        <v>64</v>
      </c>
      <c r="G73" s="120">
        <v>0</v>
      </c>
      <c r="H73" s="114">
        <v>2.39</v>
      </c>
      <c r="I73" s="114">
        <v>0</v>
      </c>
      <c r="J73" s="114">
        <v>0</v>
      </c>
      <c r="K73" s="114">
        <f t="shared" ref="K73" si="7">+G73+H73-I73-J73</f>
        <v>2.39</v>
      </c>
      <c r="L73" s="114"/>
      <c r="R73" s="105"/>
      <c r="T73" s="105"/>
    </row>
    <row r="74" spans="5:24" ht="18.75" customHeight="1" thickBot="1">
      <c r="E74" s="113"/>
      <c r="F74" t="s">
        <v>66</v>
      </c>
      <c r="G74" s="120">
        <v>0</v>
      </c>
      <c r="H74" s="114">
        <f>29.09+0.01+0.01</f>
        <v>29.110000000000003</v>
      </c>
      <c r="I74" s="114">
        <f>1.9</f>
        <v>1.9</v>
      </c>
      <c r="J74" s="114">
        <v>0</v>
      </c>
      <c r="K74" s="114">
        <f>+G74+H74-I74-J74</f>
        <v>27.210000000000004</v>
      </c>
      <c r="L74" s="114"/>
      <c r="R74" s="105"/>
      <c r="T74" s="105"/>
    </row>
    <row r="75" spans="5:24" ht="18.75" customHeight="1" thickBot="1">
      <c r="E75" s="113"/>
      <c r="G75" s="120"/>
      <c r="H75" s="114"/>
      <c r="I75" s="114"/>
      <c r="J75" s="114"/>
      <c r="K75" s="134">
        <f>SUM(K72:K74)</f>
        <v>521.01</v>
      </c>
      <c r="L75" s="114"/>
      <c r="R75" s="105"/>
      <c r="T75" s="105"/>
    </row>
    <row r="76" spans="5:24" ht="18.75" customHeight="1">
      <c r="E76" s="113"/>
      <c r="F76" s="129" t="s">
        <v>50</v>
      </c>
      <c r="G76" s="120">
        <v>5.71</v>
      </c>
      <c r="H76" s="209">
        <f>0.39+0.01</f>
        <v>0.4</v>
      </c>
      <c r="I76" s="209">
        <v>0.06</v>
      </c>
      <c r="J76"/>
      <c r="K76" s="114">
        <f>+G76+H76-I76</f>
        <v>6.0500000000000007</v>
      </c>
      <c r="R76" s="105"/>
    </row>
    <row r="77" spans="5:24" ht="18.75" customHeight="1" thickBot="1">
      <c r="E77" s="113"/>
      <c r="F77" s="129" t="s">
        <v>51</v>
      </c>
      <c r="G77" s="120">
        <v>0.31</v>
      </c>
      <c r="H77" s="114"/>
      <c r="I77" s="114"/>
      <c r="J77"/>
      <c r="K77" s="114">
        <f>+G77+H77-I77-J77</f>
        <v>0.31</v>
      </c>
      <c r="R77" s="105"/>
      <c r="V77" s="105">
        <f>+H68+H69+H70</f>
        <v>0</v>
      </c>
      <c r="W77" s="105">
        <f>SUM(I60:I76)</f>
        <v>16.63</v>
      </c>
      <c r="X77" s="105">
        <f>+J45+J61+J62+J64+J66+J68+J70</f>
        <v>1.8</v>
      </c>
    </row>
    <row r="78" spans="5:24" ht="18.75" customHeight="1" thickBot="1">
      <c r="E78" s="121" t="s">
        <v>73</v>
      </c>
      <c r="H78" s="114"/>
      <c r="I78" s="114"/>
      <c r="J78"/>
      <c r="K78" s="131">
        <f>+K63+K67+K71+K75+K76+K77</f>
        <v>582.78999999999985</v>
      </c>
      <c r="M78" s="105">
        <f>+K53+K76+K77</f>
        <v>6.36</v>
      </c>
      <c r="R78" s="105"/>
    </row>
    <row r="79" spans="5:24" ht="18.75" hidden="1" customHeight="1">
      <c r="E79" s="121" t="s">
        <v>362</v>
      </c>
      <c r="H79" s="114"/>
      <c r="I79" s="114"/>
      <c r="J79"/>
      <c r="K79" s="135"/>
      <c r="M79" s="105"/>
      <c r="R79" s="105"/>
    </row>
    <row r="80" spans="5:24" ht="15.75" hidden="1" customHeight="1">
      <c r="E80" s="136" t="s">
        <v>75</v>
      </c>
      <c r="G80" s="120">
        <v>0</v>
      </c>
      <c r="H80" s="114"/>
      <c r="J80" s="137"/>
      <c r="K80" s="114">
        <f>+G80-H80-I80-J80</f>
        <v>0</v>
      </c>
      <c r="R80" s="105"/>
    </row>
    <row r="81" spans="5:18" ht="15.75" hidden="1" customHeight="1" thickBot="1">
      <c r="E81" s="138" t="s">
        <v>63</v>
      </c>
      <c r="G81" s="120">
        <v>0</v>
      </c>
      <c r="H81" s="114"/>
      <c r="J81" s="137"/>
      <c r="K81" s="114">
        <f t="shared" ref="K81" si="8">+G81-H81-I81-J81</f>
        <v>0</v>
      </c>
      <c r="R81" s="105"/>
    </row>
    <row r="82" spans="5:18" ht="18.75" hidden="1" customHeight="1" thickBot="1">
      <c r="E82" s="136"/>
      <c r="H82" s="114"/>
      <c r="I82" s="114"/>
      <c r="J82"/>
      <c r="K82" s="131">
        <f>SUM(K80:K81)</f>
        <v>0</v>
      </c>
      <c r="M82" s="105"/>
    </row>
    <row r="83" spans="5:18" ht="18.75" customHeight="1">
      <c r="E83" s="121" t="s">
        <v>363</v>
      </c>
      <c r="R83" s="105"/>
    </row>
    <row r="84" spans="5:18" ht="15.75" customHeight="1">
      <c r="E84" s="136" t="s">
        <v>63</v>
      </c>
      <c r="J84" s="137">
        <v>0</v>
      </c>
      <c r="K84" s="114">
        <f>+K5-J84</f>
        <v>158.58999999999997</v>
      </c>
    </row>
    <row r="85" spans="5:18" ht="18" customHeight="1">
      <c r="E85" s="136" t="s">
        <v>75</v>
      </c>
      <c r="J85" s="105">
        <v>0</v>
      </c>
      <c r="K85" s="114">
        <f>+K6</f>
        <v>1997.61</v>
      </c>
    </row>
    <row r="86" spans="5:18" ht="15.75" customHeight="1">
      <c r="E86" s="136" t="s">
        <v>66</v>
      </c>
      <c r="J86" s="137">
        <v>0</v>
      </c>
      <c r="K86" s="114">
        <f>+K8-J86</f>
        <v>800</v>
      </c>
    </row>
    <row r="87" spans="5:18" ht="15.75" customHeight="1" thickBot="1">
      <c r="E87" s="136" t="s">
        <v>78</v>
      </c>
      <c r="J87" s="137">
        <v>0</v>
      </c>
      <c r="K87" s="114">
        <f>+K15-J87</f>
        <v>120.9</v>
      </c>
    </row>
    <row r="88" spans="5:18" ht="18.75" customHeight="1" thickBot="1">
      <c r="E88" s="121" t="s">
        <v>79</v>
      </c>
      <c r="J88" s="139">
        <f>SUM(J84:J87)</f>
        <v>0</v>
      </c>
      <c r="K88" s="140">
        <f>SUM(K84:K87)</f>
        <v>3077.1</v>
      </c>
    </row>
    <row r="89" spans="5:18" ht="23.25" customHeight="1" thickBot="1">
      <c r="E89" s="121" t="s">
        <v>80</v>
      </c>
      <c r="K89" s="141">
        <f>+K78+K82+K88</f>
        <v>3659.89</v>
      </c>
    </row>
    <row r="90" spans="5:18" ht="18.75" customHeight="1" thickBot="1">
      <c r="E90" s="198" t="s">
        <v>360</v>
      </c>
      <c r="K90" s="142">
        <f>+H20</f>
        <v>2668.41</v>
      </c>
    </row>
    <row r="91" spans="5:18" ht="23.25" customHeight="1" thickBot="1">
      <c r="E91" s="121" t="s">
        <v>82</v>
      </c>
      <c r="K91" s="143">
        <f>+K90-K89</f>
        <v>-991.48</v>
      </c>
    </row>
    <row r="92" spans="5:18" ht="6.75" customHeight="1"/>
    <row r="93" spans="5:18" hidden="1"/>
    <row r="94" spans="5:18" hidden="1"/>
    <row r="95" spans="5:18" hidden="1"/>
    <row r="96" spans="5:18" hidden="1"/>
    <row r="97" spans="5:11" hidden="1"/>
    <row r="98" spans="5:11" ht="29.25" hidden="1">
      <c r="E98" s="109" t="s">
        <v>83</v>
      </c>
      <c r="G98" s="110">
        <f>649.23+6.61</f>
        <v>655.84</v>
      </c>
      <c r="H98" s="109">
        <f>10866.54-10208.33</f>
        <v>658.21000000000095</v>
      </c>
      <c r="I98" s="106">
        <v>1796.26</v>
      </c>
      <c r="J98" s="111">
        <f>+F105</f>
        <v>84.19</v>
      </c>
      <c r="K98" s="112">
        <f>+I98-J98</f>
        <v>1712.07</v>
      </c>
    </row>
    <row r="99" spans="5:11" hidden="1">
      <c r="H99" s="114"/>
    </row>
    <row r="100" spans="5:11" ht="21" hidden="1">
      <c r="E100" s="121" t="s">
        <v>84</v>
      </c>
      <c r="F100" s="118">
        <f>7.39-2-0.1-0.5-2.94-0.94</f>
        <v>0.91000000000000014</v>
      </c>
      <c r="G100" s="115"/>
      <c r="K100" s="114"/>
    </row>
    <row r="101" spans="5:11" ht="21" hidden="1">
      <c r="E101" s="121" t="s">
        <v>84</v>
      </c>
      <c r="F101" s="144">
        <f>-0.1-0.03-0.35-0.43</f>
        <v>-0.90999999999999992</v>
      </c>
      <c r="G101" s="115" t="s">
        <v>61</v>
      </c>
      <c r="K101" s="114"/>
    </row>
    <row r="102" spans="5:11" ht="21" hidden="1">
      <c r="E102" s="117" t="s">
        <v>50</v>
      </c>
      <c r="F102" s="118">
        <v>0.66</v>
      </c>
    </row>
    <row r="103" spans="5:11" ht="21" hidden="1">
      <c r="E103" s="117" t="s">
        <v>51</v>
      </c>
      <c r="F103" s="118">
        <v>0.31</v>
      </c>
      <c r="H103" s="109"/>
    </row>
    <row r="104" spans="5:11" ht="21" hidden="1">
      <c r="E104" s="121" t="s">
        <v>52</v>
      </c>
      <c r="F104" s="114">
        <f>190.07+11.66+0.01-3.08-0.04-25.64-3.26-2.85+64.94+0.86-2.19-15.72-3.83-16.38-0.35-0.29-89.5-29.27+3.12+3.88+0.02+1.06</f>
        <v>83.22</v>
      </c>
      <c r="G104" s="110"/>
      <c r="H104" s="122"/>
    </row>
    <row r="105" spans="5:11" hidden="1">
      <c r="E105" s="113"/>
      <c r="F105" s="145">
        <f>SUM(F100:F104)</f>
        <v>84.19</v>
      </c>
      <c r="G105" s="115"/>
      <c r="H105" s="109"/>
    </row>
    <row r="106" spans="5:11" hidden="1">
      <c r="E106" s="113"/>
      <c r="G106" s="124" t="s">
        <v>85</v>
      </c>
      <c r="H106" s="125" t="s">
        <v>60</v>
      </c>
      <c r="I106" s="125" t="s">
        <v>61</v>
      </c>
      <c r="J106" s="125" t="s">
        <v>62</v>
      </c>
    </row>
    <row r="107" spans="5:11" ht="21" hidden="1">
      <c r="E107" s="121" t="s">
        <v>52</v>
      </c>
      <c r="F107" t="s">
        <v>63</v>
      </c>
      <c r="G107" s="120">
        <f>410.71+316.98+108.36+17.17</f>
        <v>853.22</v>
      </c>
      <c r="H107" s="114">
        <v>790.87</v>
      </c>
      <c r="I107">
        <f>3.19+14.05+19.83+3.08+16.38</f>
        <v>56.53</v>
      </c>
      <c r="J107" s="114">
        <f>+G107-H107-I107</f>
        <v>5.8200000000000216</v>
      </c>
    </row>
    <row r="108" spans="5:11" ht="21" hidden="1">
      <c r="E108" s="121"/>
      <c r="F108" t="s">
        <v>64</v>
      </c>
      <c r="G108" s="120">
        <f>0.9+44.05+21.2+27.17+11.66+64.94</f>
        <v>169.92</v>
      </c>
      <c r="H108" s="127">
        <f>67.88-2.94+29.27+3.83</f>
        <v>98.039999999999992</v>
      </c>
      <c r="I108">
        <v>0.35</v>
      </c>
      <c r="J108" s="114">
        <f>+G108-H108-I108</f>
        <v>71.53</v>
      </c>
    </row>
    <row r="109" spans="5:11" ht="21" hidden="1">
      <c r="E109" s="121"/>
      <c r="F109" t="s">
        <v>66</v>
      </c>
      <c r="G109" s="120">
        <f>24.35+0.37+0.13+0.01+0.02+3.12</f>
        <v>28.000000000000004</v>
      </c>
      <c r="H109" s="114">
        <f>24.62-2.01+0.25</f>
        <v>22.86</v>
      </c>
      <c r="I109">
        <f>0.04+0.29</f>
        <v>0.32999999999999996</v>
      </c>
      <c r="J109" s="114">
        <f>+G109-H109-I109</f>
        <v>4.8100000000000041</v>
      </c>
    </row>
    <row r="110" spans="5:11" ht="21" hidden="1">
      <c r="E110" s="121"/>
      <c r="F110" t="s">
        <v>86</v>
      </c>
      <c r="G110" s="120"/>
      <c r="H110" s="114"/>
      <c r="J110" s="114">
        <v>1.06</v>
      </c>
    </row>
    <row r="111" spans="5:11" ht="21.75" hidden="1" thickBot="1">
      <c r="E111" s="121"/>
      <c r="G111" s="120"/>
      <c r="H111" s="114"/>
      <c r="J111" s="131">
        <f>SUM(J107:J110)</f>
        <v>83.220000000000027</v>
      </c>
    </row>
    <row r="112" spans="5:11" ht="21" hidden="1">
      <c r="E112" s="121" t="s">
        <v>84</v>
      </c>
      <c r="F112" t="s">
        <v>63</v>
      </c>
      <c r="G112" s="120">
        <v>2</v>
      </c>
      <c r="H112" s="114">
        <v>2</v>
      </c>
      <c r="J112" s="114">
        <f>+G112-H112-I112</f>
        <v>0</v>
      </c>
    </row>
    <row r="113" spans="5:11" hidden="1">
      <c r="E113" s="113"/>
      <c r="F113" t="s">
        <v>64</v>
      </c>
      <c r="G113" s="120">
        <v>7.11</v>
      </c>
      <c r="H113" s="127">
        <v>6.76</v>
      </c>
      <c r="I113" s="114">
        <v>0.35</v>
      </c>
      <c r="J113" s="114">
        <f>+G113-H113-I113</f>
        <v>5.5511151231257827E-16</v>
      </c>
    </row>
    <row r="114" spans="5:11" hidden="1">
      <c r="E114" s="113"/>
      <c r="F114" t="s">
        <v>66</v>
      </c>
      <c r="G114" s="120">
        <f>2.67-0.1</f>
        <v>2.57</v>
      </c>
      <c r="H114" s="114">
        <f>0.33+0.19+0.05+0.5+0.94</f>
        <v>2.0099999999999998</v>
      </c>
      <c r="I114" s="114">
        <f>0.13+0.43</f>
        <v>0.56000000000000005</v>
      </c>
      <c r="J114" s="114">
        <f>+G114-H114-I114</f>
        <v>0</v>
      </c>
    </row>
    <row r="115" spans="5:11" ht="13.5" hidden="1" thickBot="1">
      <c r="E115" s="113"/>
      <c r="G115" s="120"/>
      <c r="H115" s="114"/>
      <c r="J115" s="131">
        <f>SUM(J112:J114)</f>
        <v>5.5511151231257827E-16</v>
      </c>
      <c r="K115" s="114"/>
    </row>
    <row r="116" spans="5:11" ht="18" hidden="1">
      <c r="E116" s="113"/>
      <c r="F116" s="129" t="s">
        <v>50</v>
      </c>
      <c r="G116" s="120"/>
      <c r="H116" s="114"/>
      <c r="J116" s="114">
        <v>0.66</v>
      </c>
      <c r="K116" s="114"/>
    </row>
    <row r="117" spans="5:11" ht="18" hidden="1">
      <c r="E117" s="113"/>
      <c r="F117" s="129" t="s">
        <v>51</v>
      </c>
      <c r="G117" s="120"/>
      <c r="H117" s="114"/>
      <c r="J117" s="114">
        <v>0.31</v>
      </c>
      <c r="K117" s="114"/>
    </row>
    <row r="118" spans="5:11" ht="21.75" hidden="1" thickBot="1">
      <c r="E118" s="121" t="s">
        <v>87</v>
      </c>
      <c r="G118" s="120"/>
      <c r="H118" s="114"/>
      <c r="J118" s="140">
        <f>+J111+J115+J116+J117</f>
        <v>84.190000000000026</v>
      </c>
      <c r="K118" s="114">
        <f>+F105-J118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พ.ย.2558</oddFooter>
  </headerFooter>
  <rowBreaks count="2" manualBreakCount="2">
    <brk id="26" max="16383" man="1"/>
    <brk id="92" max="16383" man="1"/>
  </rowBreaks>
  <colBreaks count="1" manualBreakCount="1">
    <brk id="11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I20" sqref="I20:K20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252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253</v>
      </c>
      <c r="E3" s="1" t="s">
        <v>5</v>
      </c>
      <c r="F3" s="2" t="s">
        <v>201</v>
      </c>
      <c r="G3" s="3" t="s">
        <v>198</v>
      </c>
      <c r="H3" s="5" t="s">
        <v>254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149.24</v>
      </c>
      <c r="H4" s="16">
        <f>SUM(H5:H8)</f>
        <v>12040.89</v>
      </c>
      <c r="I4" s="17">
        <f>SUM(I5:I8)</f>
        <v>3140</v>
      </c>
      <c r="J4" s="18">
        <f>SUM(J5:J8)</f>
        <v>601.42000000000007</v>
      </c>
      <c r="K4" s="19">
        <f>SUM(K5:K8)</f>
        <v>2538.58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1+8.19+29.28+31.02+64.14</f>
        <v>133.63</v>
      </c>
      <c r="H5" s="27">
        <f>+F5+G5</f>
        <v>8578.5299999999988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f>8.04+3.21+1.8+2.56</f>
        <v>15.610000000000001</v>
      </c>
      <c r="H6" s="27">
        <f>+F6+G6</f>
        <v>3177.76</v>
      </c>
      <c r="I6" s="33">
        <v>1950</v>
      </c>
      <c r="J6" s="34">
        <f>3.21+4.36</f>
        <v>7.57</v>
      </c>
      <c r="K6" s="35">
        <f>+I6-J6</f>
        <v>1942.43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11.770000000000001</v>
      </c>
      <c r="H9" s="16">
        <f>SUM(H10:H18)</f>
        <v>2790.54</v>
      </c>
      <c r="I9" s="17">
        <f>SUM(I15:I16)</f>
        <v>160</v>
      </c>
      <c r="J9" s="50">
        <f>SUM(J15:J16)</f>
        <v>43.39</v>
      </c>
      <c r="K9" s="51">
        <f>SUM(K15:K16)</f>
        <v>116.61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305.93</v>
      </c>
      <c r="D10" s="24">
        <f>SUM(O11:O17)</f>
        <v>10329.129999999999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10.79</v>
      </c>
      <c r="D11" s="58">
        <f>+B11+C11</f>
        <v>716.09999999999991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716.09999999999991</v>
      </c>
    </row>
    <row r="12" spans="1:15" s="20" customFormat="1" ht="23.25">
      <c r="A12" s="21" t="s">
        <v>29</v>
      </c>
      <c r="B12" s="31">
        <v>730.91</v>
      </c>
      <c r="C12" s="32">
        <v>18.77</v>
      </c>
      <c r="D12" s="58">
        <f t="shared" ref="D12:D17" si="2">+B12+C12</f>
        <v>749.68</v>
      </c>
      <c r="E12" s="21" t="s">
        <v>30</v>
      </c>
      <c r="F12" s="31">
        <v>86.44</v>
      </c>
      <c r="G12" s="32">
        <v>0</v>
      </c>
      <c r="H12" s="27">
        <f t="shared" si="0"/>
        <v>86.44</v>
      </c>
      <c r="I12" s="33"/>
      <c r="J12" s="43">
        <v>0</v>
      </c>
      <c r="K12" s="44">
        <f>+I12-J12</f>
        <v>0</v>
      </c>
      <c r="L12" s="57"/>
      <c r="O12" s="59">
        <f t="shared" si="1"/>
        <v>749.68</v>
      </c>
    </row>
    <row r="13" spans="1:15" s="20" customFormat="1" ht="23.25">
      <c r="A13" s="21" t="s">
        <v>31</v>
      </c>
      <c r="B13" s="31">
        <v>269.3</v>
      </c>
      <c r="C13" s="32">
        <v>4.12</v>
      </c>
      <c r="D13" s="58">
        <f t="shared" si="2"/>
        <v>273.42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273.42</v>
      </c>
    </row>
    <row r="14" spans="1:15" s="20" customFormat="1" ht="23.25">
      <c r="A14" s="21" t="s">
        <v>33</v>
      </c>
      <c r="B14" s="31">
        <v>6798</v>
      </c>
      <c r="C14" s="32">
        <v>206.17</v>
      </c>
      <c r="D14" s="58">
        <f t="shared" si="2"/>
        <v>7004.17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7004.17</v>
      </c>
    </row>
    <row r="15" spans="1:15" s="20" customFormat="1" ht="23.25">
      <c r="A15" s="21" t="s">
        <v>35</v>
      </c>
      <c r="B15" s="60">
        <v>87.09</v>
      </c>
      <c r="C15" s="32">
        <v>1.33</v>
      </c>
      <c r="D15" s="58">
        <f t="shared" si="2"/>
        <v>88.42</v>
      </c>
      <c r="E15" s="21" t="s">
        <v>36</v>
      </c>
      <c r="F15" s="31">
        <f>1042.74-0.05</f>
        <v>1042.69</v>
      </c>
      <c r="G15" s="32">
        <f>2.26+2.33+2.31+2.24-0.01+2.64</f>
        <v>11.770000000000001</v>
      </c>
      <c r="H15" s="27">
        <f t="shared" si="0"/>
        <v>1054.46</v>
      </c>
      <c r="I15" s="33">
        <v>160</v>
      </c>
      <c r="J15" s="61">
        <f>36.42+6.97</f>
        <v>43.39</v>
      </c>
      <c r="K15" s="35">
        <f>+I15-J15-J16</f>
        <v>116.61</v>
      </c>
      <c r="L15" s="57"/>
      <c r="O15" s="59">
        <f t="shared" si="1"/>
        <v>88.42</v>
      </c>
    </row>
    <row r="16" spans="1:15" s="20" customFormat="1" ht="23.25">
      <c r="A16" s="21" t="s">
        <v>37</v>
      </c>
      <c r="B16" s="62">
        <v>490.18</v>
      </c>
      <c r="C16" s="32">
        <v>14.79</v>
      </c>
      <c r="D16" s="58">
        <f t="shared" si="2"/>
        <v>504.97</v>
      </c>
      <c r="E16" s="33"/>
      <c r="F16" s="31"/>
      <c r="G16" s="26"/>
      <c r="H16" s="27"/>
      <c r="I16" s="63"/>
      <c r="J16" s="64"/>
      <c r="K16" s="35"/>
      <c r="O16" s="59">
        <f t="shared" si="1"/>
        <v>504.97</v>
      </c>
    </row>
    <row r="17" spans="1:18" s="20" customFormat="1" ht="23.25">
      <c r="A17" s="21" t="s">
        <v>39</v>
      </c>
      <c r="B17" s="65">
        <v>942.41</v>
      </c>
      <c r="C17" s="32">
        <v>49.96</v>
      </c>
      <c r="D17" s="58">
        <f t="shared" si="2"/>
        <v>992.37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992.37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161.01000000000002</v>
      </c>
      <c r="H19" s="83">
        <f>+H4+H9</f>
        <v>14831.43</v>
      </c>
      <c r="I19" s="19">
        <f>+I4+I9</f>
        <v>3300</v>
      </c>
      <c r="J19" s="84">
        <f>+J4+J9</f>
        <v>644.81000000000006</v>
      </c>
      <c r="K19" s="51">
        <f>+K4+K9</f>
        <v>2655.19</v>
      </c>
      <c r="M19" s="20">
        <f>F20+G20</f>
        <v>2570.9300000000003</v>
      </c>
      <c r="O19" s="85"/>
    </row>
    <row r="20" spans="1:18" s="20" customFormat="1" ht="23.25">
      <c r="A20" s="86"/>
      <c r="B20" s="74"/>
      <c r="C20" s="71"/>
      <c r="D20" s="80"/>
      <c r="E20" s="87" t="s">
        <v>262</v>
      </c>
      <c r="F20" s="88">
        <f>B22-F19</f>
        <v>2426.0100000000002</v>
      </c>
      <c r="G20" s="89">
        <f>C22-G19</f>
        <v>144.91999999999999</v>
      </c>
      <c r="H20" s="90">
        <f>+D22-H19</f>
        <v>2570.9300000000003</v>
      </c>
      <c r="I20" s="225" t="s">
        <v>264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263</v>
      </c>
      <c r="F21" s="95"/>
      <c r="G21" s="96"/>
      <c r="H21" s="97"/>
      <c r="I21" s="214" t="s">
        <v>265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-2570.9300000000003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305.93</v>
      </c>
      <c r="D22" s="100">
        <f>SUM(D4:D10)</f>
        <v>17402.36</v>
      </c>
      <c r="E22" s="101" t="s">
        <v>46</v>
      </c>
      <c r="F22" s="102">
        <f>SUM(F19:F20)</f>
        <v>17096.43</v>
      </c>
      <c r="G22" s="103">
        <f>SUM(G19:G20)</f>
        <v>305.93</v>
      </c>
      <c r="H22" s="102">
        <f>+H19+H20</f>
        <v>17402.36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99"/>
      <c r="K25" s="199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2570.9300000000003</v>
      </c>
      <c r="J26" s="111">
        <f>+F40</f>
        <v>500.07000000000005</v>
      </c>
      <c r="K26" s="112">
        <f>+I26-J26</f>
        <v>2070.86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4.4800000000000004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1.79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493.16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500.07000000000005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>
        <f>+K44+K50+K55+K61</f>
        <v>0.33000000000000007</v>
      </c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1.77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0.48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0.48</v>
      </c>
      <c r="J65" s="105">
        <f>0.82+0.64+0.26+0.01</f>
        <v>1.73</v>
      </c>
      <c r="K65" s="114">
        <f>+G65+H65-I65-J65</f>
        <v>1.79</v>
      </c>
      <c r="L65" s="114"/>
      <c r="R65" s="105">
        <f>+R64+I67</f>
        <v>133.10999999999999</v>
      </c>
      <c r="S65" s="105">
        <f>+I51+I56+I57+I65+I67</f>
        <v>133.10999999999999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1.79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f>8.19+29.28+31.02+64.14</f>
        <v>132.63</v>
      </c>
      <c r="J67" s="114">
        <v>0.26</v>
      </c>
      <c r="K67" s="114">
        <f>+G67+H67-I67-J67</f>
        <v>460.96000000000004</v>
      </c>
      <c r="L67" s="114"/>
      <c r="Q67" s="125" t="s">
        <v>61</v>
      </c>
      <c r="R67" s="105">
        <f>+J59+J61+J67+J69</f>
        <v>0.49</v>
      </c>
    </row>
    <row r="68" spans="5:19" ht="18.75" customHeight="1">
      <c r="E68" s="113"/>
      <c r="F68" t="s">
        <v>64</v>
      </c>
      <c r="G68" s="120">
        <v>0</v>
      </c>
      <c r="H68" s="114">
        <f>3.21+4.36</f>
        <v>7.57</v>
      </c>
      <c r="I68" s="114">
        <f>3.21+1.8+2.56</f>
        <v>7.57</v>
      </c>
      <c r="J68" s="114"/>
      <c r="K68" s="114">
        <f t="shared" ref="K68" si="6">+G68+H68-I68-J68</f>
        <v>0</v>
      </c>
      <c r="L68" s="114"/>
      <c r="Q68" s="125" t="s">
        <v>60</v>
      </c>
      <c r="R68" s="105">
        <f>+I55+I61+I69</f>
        <v>11.320000000000002</v>
      </c>
    </row>
    <row r="69" spans="5:19" ht="18.75" customHeight="1" thickBot="1">
      <c r="E69" s="113"/>
      <c r="F69" t="s">
        <v>66</v>
      </c>
      <c r="G69" s="120">
        <v>0</v>
      </c>
      <c r="H69" s="114">
        <f>36.42+6.97</f>
        <v>43.39</v>
      </c>
      <c r="I69" s="114">
        <f>8.57+2.64-0.02</f>
        <v>11.190000000000001</v>
      </c>
      <c r="K69" s="114">
        <f>+G69+H69-I69-J69</f>
        <v>32.200000000000003</v>
      </c>
      <c r="L69" s="114"/>
      <c r="R69" s="105">
        <f>+R68+I71</f>
        <v>11.420000000000002</v>
      </c>
      <c r="S69" s="105">
        <f>+I55+I60+I61+I69+I71</f>
        <v>11.420000000000002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493.16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0.08+0.03+0.32+0.1</f>
        <v>0.53</v>
      </c>
      <c r="I71" s="114">
        <f>0.07+0.01+0.02</f>
        <v>0.1</v>
      </c>
      <c r="J71"/>
      <c r="K71" s="114">
        <f>+G71+H71-I71</f>
        <v>4.4800000000000004</v>
      </c>
      <c r="R71" s="105">
        <f>+H58+H59+H67+H68+H69</f>
        <v>644.81000000000006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132.63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500.07000000000005</v>
      </c>
      <c r="M73" s="105">
        <f>+K52+K71+K72</f>
        <v>4.79</v>
      </c>
      <c r="R73" s="105">
        <f>+I59+I68</f>
        <v>11.64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11.64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32.53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31.200000000000003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11.420000000000002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1942.43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116.61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2655.19</v>
      </c>
    </row>
    <row r="84" spans="5:11" ht="23.25" customHeight="1" thickBot="1">
      <c r="E84" s="121" t="s">
        <v>80</v>
      </c>
      <c r="K84" s="141">
        <f>+K73+K77+K83</f>
        <v>3167.26</v>
      </c>
    </row>
    <row r="85" spans="5:11" ht="18.75" customHeight="1" thickBot="1">
      <c r="E85" s="198" t="s">
        <v>266</v>
      </c>
      <c r="K85" s="142">
        <f>+H20</f>
        <v>2570.9300000000003</v>
      </c>
    </row>
    <row r="86" spans="5:11" ht="23.25" customHeight="1" thickBot="1">
      <c r="E86" s="121" t="s">
        <v>82</v>
      </c>
      <c r="K86" s="143">
        <f>+K85-K84</f>
        <v>-596.32999999999993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มี.ค.2558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</sheetPr>
  <dimension ref="A1:T46"/>
  <sheetViews>
    <sheetView topLeftCell="A17" zoomScaleSheetLayoutView="75" workbookViewId="0">
      <selection activeCell="H47" sqref="H47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0" ht="26.25">
      <c r="A1" s="213" t="s">
        <v>247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0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0" ht="23.25">
      <c r="B3" s="149" t="s">
        <v>248</v>
      </c>
      <c r="C3" s="149"/>
      <c r="D3" s="149"/>
      <c r="E3" s="149"/>
      <c r="F3" s="149"/>
      <c r="G3" s="149"/>
      <c r="H3" s="149"/>
      <c r="J3" s="150">
        <f>SUM(J4:J7)</f>
        <v>2534.9599999999996</v>
      </c>
      <c r="K3" s="150"/>
      <c r="L3" s="149" t="s">
        <v>90</v>
      </c>
    </row>
    <row r="4" spans="1:20">
      <c r="C4" s="146" t="s">
        <v>91</v>
      </c>
      <c r="J4" s="151">
        <v>0.04</v>
      </c>
      <c r="K4" s="151"/>
      <c r="L4" s="146" t="s">
        <v>90</v>
      </c>
      <c r="N4" s="147">
        <f>15000+2549028</f>
        <v>2564028</v>
      </c>
    </row>
    <row r="5" spans="1:20">
      <c r="C5" s="146" t="s">
        <v>92</v>
      </c>
      <c r="J5" s="151">
        <v>1988.01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1988.05</v>
      </c>
    </row>
    <row r="6" spans="1:20">
      <c r="C6" s="146" t="s">
        <v>93</v>
      </c>
      <c r="J6" s="151">
        <v>542.66999999999996</v>
      </c>
      <c r="K6" s="151"/>
      <c r="L6" s="146" t="s">
        <v>90</v>
      </c>
      <c r="N6" s="147">
        <f>159.68-1.53</f>
        <v>158.15</v>
      </c>
    </row>
    <row r="7" spans="1:20">
      <c r="C7" s="146" t="s">
        <v>94</v>
      </c>
      <c r="J7" s="151">
        <v>4.24</v>
      </c>
      <c r="K7" s="151"/>
      <c r="L7" s="146" t="s">
        <v>90</v>
      </c>
      <c r="N7" s="147" t="s">
        <v>95</v>
      </c>
      <c r="P7" s="152">
        <f>SUM(J6:J7)</f>
        <v>546.91</v>
      </c>
      <c r="Q7" s="153"/>
      <c r="S7" s="173">
        <f>+J4+J6+J7</f>
        <v>546.94999999999993</v>
      </c>
    </row>
    <row r="8" spans="1:20">
      <c r="F8" s="154"/>
      <c r="J8" s="151"/>
      <c r="K8" s="151"/>
    </row>
    <row r="9" spans="1:20" s="149" customFormat="1" ht="23.25">
      <c r="B9" s="149" t="s">
        <v>96</v>
      </c>
      <c r="J9" s="150">
        <f>+J10+J13</f>
        <v>2534.96</v>
      </c>
      <c r="K9" s="150"/>
      <c r="L9" s="149" t="s">
        <v>90</v>
      </c>
      <c r="N9" s="155"/>
    </row>
    <row r="10" spans="1:20">
      <c r="C10" s="156" t="s">
        <v>97</v>
      </c>
      <c r="D10" s="156"/>
      <c r="E10" s="156"/>
      <c r="F10" s="156"/>
      <c r="G10" s="156"/>
      <c r="H10" s="156"/>
      <c r="J10" s="157">
        <f>SUM(J11:J12)</f>
        <v>3234.2299999999996</v>
      </c>
      <c r="K10" s="157"/>
      <c r="L10" s="156" t="s">
        <v>90</v>
      </c>
      <c r="T10" s="153">
        <f>+J11-T5</f>
        <v>699.26999999999975</v>
      </c>
    </row>
    <row r="11" spans="1:20">
      <c r="D11" s="146" t="s">
        <v>98</v>
      </c>
      <c r="J11" s="151">
        <f>+I29</f>
        <v>2687.3199999999997</v>
      </c>
      <c r="K11" s="151"/>
      <c r="L11" s="146" t="s">
        <v>90</v>
      </c>
    </row>
    <row r="12" spans="1:20">
      <c r="D12" s="146" t="s">
        <v>99</v>
      </c>
      <c r="J12" s="151">
        <f>+I40</f>
        <v>546.91</v>
      </c>
      <c r="K12" s="151"/>
      <c r="L12" s="146" t="s">
        <v>90</v>
      </c>
      <c r="N12" s="147">
        <f>79.47+71.91+5.93-2.01</f>
        <v>155.30000000000001</v>
      </c>
      <c r="S12" s="173">
        <f>+J12+J15</f>
        <v>546.91</v>
      </c>
      <c r="T12" s="153">
        <f>+J6+J7</f>
        <v>546.91</v>
      </c>
    </row>
    <row r="13" spans="1:20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-699.26999999999975</v>
      </c>
      <c r="K13" s="157"/>
      <c r="L13" s="156" t="s">
        <v>90</v>
      </c>
      <c r="N13" s="159">
        <f>+J14+J11</f>
        <v>1988.05</v>
      </c>
    </row>
    <row r="14" spans="1:20">
      <c r="D14" s="146" t="s">
        <v>98</v>
      </c>
      <c r="J14" s="151">
        <f>+J5-I29+0.04</f>
        <v>-699.26999999999975</v>
      </c>
      <c r="K14" s="151"/>
      <c r="L14" s="146" t="s">
        <v>90</v>
      </c>
      <c r="N14" s="147">
        <f>+J15+J12</f>
        <v>546.91</v>
      </c>
    </row>
    <row r="15" spans="1:20">
      <c r="D15" s="146" t="s">
        <v>99</v>
      </c>
      <c r="J15" s="151">
        <f>+J4+J6+J7-J12-0.04</f>
        <v>-3.6380620738185598E-14</v>
      </c>
      <c r="K15" s="151"/>
      <c r="L15" s="146" t="s">
        <v>90</v>
      </c>
    </row>
    <row r="16" spans="1:20">
      <c r="I16" s="151"/>
    </row>
    <row r="17" spans="2:12">
      <c r="B17" s="160" t="s">
        <v>49</v>
      </c>
      <c r="I17" s="151"/>
    </row>
    <row r="18" spans="2:12">
      <c r="C18" s="156" t="s">
        <v>249</v>
      </c>
      <c r="J18" s="157">
        <f>+J3</f>
        <v>2534.9599999999996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v>2662.16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v>12.69</v>
      </c>
      <c r="H29" s="165">
        <f>SUM(G27:G29)</f>
        <v>2674.85</v>
      </c>
      <c r="I29" s="157">
        <f>+H26+H29</f>
        <v>2687.3199999999997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v>2.15</v>
      </c>
      <c r="H34" s="147"/>
      <c r="I34" s="157"/>
    </row>
    <row r="35" spans="3:14">
      <c r="D35" s="146" t="s">
        <v>110</v>
      </c>
      <c r="G35" s="163">
        <f>3.89-0.07-0.01</f>
        <v>3.8100000000000005</v>
      </c>
      <c r="H35" s="167">
        <f>SUM(G32:G35)</f>
        <v>5.9600000000000009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</f>
        <v>0</v>
      </c>
      <c r="H37" s="167"/>
      <c r="I37" s="168"/>
      <c r="L37" s="156"/>
    </row>
    <row r="38" spans="3:14">
      <c r="D38" s="146" t="s">
        <v>115</v>
      </c>
      <c r="G38" s="164">
        <f>593.85-8.19-29.28-31.02</f>
        <v>525.36</v>
      </c>
      <c r="H38" s="167"/>
      <c r="I38" s="168"/>
      <c r="L38" s="156"/>
    </row>
    <row r="39" spans="3:14">
      <c r="D39" s="146" t="s">
        <v>116</v>
      </c>
      <c r="G39" s="164">
        <v>15.16</v>
      </c>
      <c r="H39" s="167"/>
      <c r="I39" s="168"/>
      <c r="L39" s="156"/>
    </row>
    <row r="40" spans="3:14">
      <c r="D40" s="146" t="s">
        <v>110</v>
      </c>
      <c r="G40" s="163">
        <f>0.08+0.03+0.32</f>
        <v>0.43</v>
      </c>
      <c r="H40" s="165">
        <f>SUM(G37:G40)</f>
        <v>540.94999999999993</v>
      </c>
      <c r="I40" s="168">
        <f>+H35+H40</f>
        <v>546.91</v>
      </c>
      <c r="J40" s="170">
        <f>+I29+I40</f>
        <v>3234.2299999999996</v>
      </c>
      <c r="L40" s="156"/>
    </row>
    <row r="41" spans="3:14" ht="21.75" thickBot="1">
      <c r="C41" s="156" t="s">
        <v>251</v>
      </c>
      <c r="I41" s="171"/>
      <c r="J41" s="172">
        <f>+J18-J40</f>
        <v>-699.27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4.24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ก.พ. 2558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I70" sqref="I70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246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243</v>
      </c>
      <c r="E3" s="1" t="s">
        <v>5</v>
      </c>
      <c r="F3" s="2" t="s">
        <v>201</v>
      </c>
      <c r="G3" s="3" t="s">
        <v>198</v>
      </c>
      <c r="H3" s="5" t="s">
        <v>244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85.1</v>
      </c>
      <c r="H4" s="16">
        <f>SUM(H5:H8)</f>
        <v>11976.75</v>
      </c>
      <c r="I4" s="17">
        <f>SUM(I5:I8)</f>
        <v>3140</v>
      </c>
      <c r="J4" s="18">
        <f>SUM(J5:J8)</f>
        <v>601.42000000000007</v>
      </c>
      <c r="K4" s="19">
        <f>SUM(K5:K8)</f>
        <v>2538.58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1+8.19+29.28+31.02</f>
        <v>69.489999999999995</v>
      </c>
      <c r="H5" s="27">
        <f>+F5+G5</f>
        <v>8514.39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f>8.04+3.21+1.8+2.56</f>
        <v>15.610000000000001</v>
      </c>
      <c r="H6" s="27">
        <f>+F6+G6</f>
        <v>3177.76</v>
      </c>
      <c r="I6" s="33">
        <v>1950</v>
      </c>
      <c r="J6" s="34">
        <f>3.21+4.36</f>
        <v>7.57</v>
      </c>
      <c r="K6" s="35">
        <f>+I6-J6</f>
        <v>1942.43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9.1300000000000008</v>
      </c>
      <c r="H9" s="16">
        <f>SUM(H10:H18)</f>
        <v>2787.9000000000005</v>
      </c>
      <c r="I9" s="17">
        <f>SUM(I15:I16)</f>
        <v>160</v>
      </c>
      <c r="J9" s="50">
        <f>SUM(J15:J16)</f>
        <v>36.42</v>
      </c>
      <c r="K9" s="51">
        <f>SUM(K15:K16)</f>
        <v>123.58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203.18</v>
      </c>
      <c r="D10" s="24">
        <f>SUM(O11:O17)</f>
        <v>10226.380000000001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6.8</v>
      </c>
      <c r="D11" s="58">
        <f>+B11+C11</f>
        <v>712.1099999999999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712.1099999999999</v>
      </c>
    </row>
    <row r="12" spans="1:15" s="20" customFormat="1" ht="23.25">
      <c r="A12" s="21" t="s">
        <v>29</v>
      </c>
      <c r="B12" s="31">
        <v>730.91</v>
      </c>
      <c r="C12" s="32">
        <v>14.05</v>
      </c>
      <c r="D12" s="58">
        <f t="shared" ref="D12:D17" si="2">+B12+C12</f>
        <v>744.95999999999992</v>
      </c>
      <c r="E12" s="21" t="s">
        <v>30</v>
      </c>
      <c r="F12" s="31">
        <v>86.44</v>
      </c>
      <c r="G12" s="32">
        <v>0</v>
      </c>
      <c r="H12" s="27">
        <f t="shared" si="0"/>
        <v>86.44</v>
      </c>
      <c r="I12" s="33"/>
      <c r="J12" s="43">
        <v>0</v>
      </c>
      <c r="K12" s="44">
        <f>+I12-J12</f>
        <v>0</v>
      </c>
      <c r="L12" s="57"/>
      <c r="O12" s="59">
        <f t="shared" si="1"/>
        <v>744.95999999999992</v>
      </c>
    </row>
    <row r="13" spans="1:15" s="20" customFormat="1" ht="23.25">
      <c r="A13" s="21" t="s">
        <v>31</v>
      </c>
      <c r="B13" s="31">
        <v>269.3</v>
      </c>
      <c r="C13" s="32">
        <v>2.94</v>
      </c>
      <c r="D13" s="58">
        <f t="shared" si="2"/>
        <v>272.24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272.24</v>
      </c>
    </row>
    <row r="14" spans="1:15" s="20" customFormat="1" ht="23.25">
      <c r="A14" s="21" t="s">
        <v>33</v>
      </c>
      <c r="B14" s="31">
        <v>6798</v>
      </c>
      <c r="C14" s="32">
        <v>128.22</v>
      </c>
      <c r="D14" s="58">
        <f t="shared" si="2"/>
        <v>6926.22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6926.22</v>
      </c>
    </row>
    <row r="15" spans="1:15" s="20" customFormat="1" ht="23.25">
      <c r="A15" s="21" t="s">
        <v>35</v>
      </c>
      <c r="B15" s="60">
        <v>87.09</v>
      </c>
      <c r="C15" s="32">
        <v>0.91</v>
      </c>
      <c r="D15" s="58">
        <f t="shared" si="2"/>
        <v>88</v>
      </c>
      <c r="E15" s="21" t="s">
        <v>36</v>
      </c>
      <c r="F15" s="31">
        <f>1042.74-0.05</f>
        <v>1042.69</v>
      </c>
      <c r="G15" s="32">
        <f>2.26+2.33+2.31+2.24-0.01</f>
        <v>9.1300000000000008</v>
      </c>
      <c r="H15" s="27">
        <f t="shared" si="0"/>
        <v>1051.8200000000002</v>
      </c>
      <c r="I15" s="33">
        <v>160</v>
      </c>
      <c r="J15" s="61">
        <v>36.42</v>
      </c>
      <c r="K15" s="35">
        <f>+I15-J15-J16</f>
        <v>123.58</v>
      </c>
      <c r="L15" s="57"/>
      <c r="O15" s="59">
        <f t="shared" si="1"/>
        <v>88</v>
      </c>
    </row>
    <row r="16" spans="1:15" s="20" customFormat="1" ht="23.25">
      <c r="A16" s="21" t="s">
        <v>37</v>
      </c>
      <c r="B16" s="62">
        <v>490.18</v>
      </c>
      <c r="C16" s="32">
        <v>9.59</v>
      </c>
      <c r="D16" s="58">
        <f t="shared" si="2"/>
        <v>499.77</v>
      </c>
      <c r="E16" s="33"/>
      <c r="F16" s="31"/>
      <c r="G16" s="26"/>
      <c r="H16" s="27"/>
      <c r="I16" s="63"/>
      <c r="J16" s="64"/>
      <c r="K16" s="35"/>
      <c r="O16" s="59">
        <f t="shared" si="1"/>
        <v>499.77</v>
      </c>
    </row>
    <row r="17" spans="1:18" s="20" customFormat="1" ht="23.25">
      <c r="A17" s="21" t="s">
        <v>39</v>
      </c>
      <c r="B17" s="65">
        <v>942.41</v>
      </c>
      <c r="C17" s="32">
        <v>40.67</v>
      </c>
      <c r="D17" s="58">
        <f t="shared" si="2"/>
        <v>983.07999999999993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983.07999999999993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94.22999999999999</v>
      </c>
      <c r="H19" s="83">
        <f>+H4+H9</f>
        <v>14764.650000000001</v>
      </c>
      <c r="I19" s="19">
        <f>+I4+I9</f>
        <v>3300</v>
      </c>
      <c r="J19" s="84">
        <f>+J4+J9</f>
        <v>637.84</v>
      </c>
      <c r="K19" s="51">
        <f>+K4+K9</f>
        <v>2662.16</v>
      </c>
      <c r="M19" s="20">
        <f>F20+G20</f>
        <v>2534.96</v>
      </c>
      <c r="O19" s="85"/>
    </row>
    <row r="20" spans="1:18" s="20" customFormat="1" ht="23.25">
      <c r="A20" s="86"/>
      <c r="B20" s="74"/>
      <c r="C20" s="71"/>
      <c r="D20" s="80"/>
      <c r="E20" s="87" t="s">
        <v>259</v>
      </c>
      <c r="F20" s="88">
        <f>B22-F19</f>
        <v>2426.0100000000002</v>
      </c>
      <c r="G20" s="89">
        <f>C22-G19</f>
        <v>108.95000000000002</v>
      </c>
      <c r="H20" s="90">
        <f>+D22-H19</f>
        <v>2534.9599999999991</v>
      </c>
      <c r="I20" s="225" t="s">
        <v>260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250</v>
      </c>
      <c r="F21" s="95"/>
      <c r="G21" s="96"/>
      <c r="H21" s="97"/>
      <c r="I21" s="214" t="s">
        <v>261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-2534.9599999999991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203.18</v>
      </c>
      <c r="D22" s="100">
        <f>SUM(D4:D10)</f>
        <v>17299.61</v>
      </c>
      <c r="E22" s="101" t="s">
        <v>46</v>
      </c>
      <c r="F22" s="102">
        <f>SUM(F19:F20)</f>
        <v>17096.43</v>
      </c>
      <c r="G22" s="103">
        <f>SUM(G19:G20)</f>
        <v>203.18</v>
      </c>
      <c r="H22" s="102">
        <f>+H19+H20</f>
        <v>17299.61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97"/>
      <c r="K25" s="197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2534.9599999999991</v>
      </c>
      <c r="J26" s="111">
        <f>+F40</f>
        <v>560.07000000000005</v>
      </c>
      <c r="K26" s="112">
        <f>+I26-J26</f>
        <v>1974.889999999999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4.3999999999999995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0.35000000000000003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1.8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553.21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560.07000000000005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</f>
        <v>0.21000000000000002</v>
      </c>
      <c r="K61" s="114">
        <f>+G61+H61-I61-J61</f>
        <v>0.35000000000000003</v>
      </c>
      <c r="L61" s="114"/>
      <c r="R61" s="105">
        <f>+K44+K50+K55+K61</f>
        <v>0.35000000000000003</v>
      </c>
    </row>
    <row r="62" spans="5:18" ht="18.75" customHeight="1" thickBot="1">
      <c r="E62" s="113"/>
      <c r="G62" s="120"/>
      <c r="H62" s="114"/>
      <c r="I62" s="114"/>
      <c r="K62" s="134">
        <f>SUM(K58:K61)</f>
        <v>0.35000000000000003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1.76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0.48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0.48</v>
      </c>
      <c r="J65" s="105">
        <f>0.82+0.64+0.26</f>
        <v>1.72</v>
      </c>
      <c r="K65" s="114">
        <f>+G65+H65-I65-J65</f>
        <v>1.8</v>
      </c>
      <c r="L65" s="114"/>
      <c r="R65" s="105">
        <f>+R64+I67</f>
        <v>68.97</v>
      </c>
      <c r="S65" s="105">
        <f>+I51+I56+I57+I65+I67</f>
        <v>68.97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1.8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f>8.19+29.28+31.02</f>
        <v>68.489999999999995</v>
      </c>
      <c r="J67" s="114"/>
      <c r="K67" s="114">
        <f>+G67+H67-I67-J67</f>
        <v>525.36</v>
      </c>
      <c r="L67" s="114"/>
      <c r="Q67" s="125" t="s">
        <v>61</v>
      </c>
      <c r="R67" s="105">
        <f>+J59+J61+J67+J69</f>
        <v>0.21000000000000002</v>
      </c>
    </row>
    <row r="68" spans="5:19" ht="18.75" customHeight="1">
      <c r="E68" s="113"/>
      <c r="F68" t="s">
        <v>64</v>
      </c>
      <c r="G68" s="120">
        <v>0</v>
      </c>
      <c r="H68" s="114">
        <f>3.21+4.36</f>
        <v>7.57</v>
      </c>
      <c r="I68" s="114">
        <f>3.21+1.8+2.56</f>
        <v>7.57</v>
      </c>
      <c r="J68" s="114"/>
      <c r="K68" s="114">
        <f t="shared" ref="K68" si="6">+G68+H68-I68-J68</f>
        <v>0</v>
      </c>
      <c r="L68" s="114"/>
      <c r="Q68" s="125" t="s">
        <v>60</v>
      </c>
      <c r="R68" s="105">
        <f>+I55+I61+I69</f>
        <v>8.7000000000000011</v>
      </c>
    </row>
    <row r="69" spans="5:19" ht="18.75" customHeight="1" thickBot="1">
      <c r="E69" s="113"/>
      <c r="F69" t="s">
        <v>66</v>
      </c>
      <c r="G69" s="120">
        <v>0</v>
      </c>
      <c r="H69" s="114">
        <v>36.42</v>
      </c>
      <c r="I69" s="114">
        <v>8.57</v>
      </c>
      <c r="K69" s="114">
        <f>+G69+H69-I69-J69</f>
        <v>27.85</v>
      </c>
      <c r="L69" s="114"/>
      <c r="R69" s="105">
        <f>+R68+I71</f>
        <v>8.7800000000000011</v>
      </c>
      <c r="S69" s="105">
        <f>+I55+I60+I61+I69+I71</f>
        <v>8.7800000000000011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553.21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0.08+0.03+0.32</f>
        <v>0.43</v>
      </c>
      <c r="I71" s="114">
        <f>0.07+0.01</f>
        <v>0.08</v>
      </c>
      <c r="J71"/>
      <c r="K71" s="114">
        <f>+G71+H71-I71</f>
        <v>4.3999999999999995</v>
      </c>
      <c r="R71" s="105">
        <f>+H58+H59+H67+H68+H69</f>
        <v>637.84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68.489999999999995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560.06999999999994</v>
      </c>
      <c r="M73" s="105">
        <f>+K52+K71+K72</f>
        <v>4.7099999999999991</v>
      </c>
      <c r="R73" s="105">
        <f>+I59+I68</f>
        <v>11.64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11.64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28.200000000000003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26.870000000000005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8.7800000000000011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1942.43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123.58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2662.16</v>
      </c>
    </row>
    <row r="84" spans="5:11" ht="23.25" customHeight="1" thickBot="1">
      <c r="E84" s="121" t="s">
        <v>80</v>
      </c>
      <c r="K84" s="141">
        <f>+K73+K77+K83</f>
        <v>3234.2299999999996</v>
      </c>
    </row>
    <row r="85" spans="5:11" ht="18.75" customHeight="1" thickBot="1">
      <c r="E85" s="198" t="s">
        <v>245</v>
      </c>
      <c r="K85" s="142">
        <f>+H20</f>
        <v>2534.9599999999991</v>
      </c>
    </row>
    <row r="86" spans="5:11" ht="23.25" customHeight="1" thickBot="1">
      <c r="E86" s="121" t="s">
        <v>82</v>
      </c>
      <c r="K86" s="143">
        <f>+K85-K84</f>
        <v>-699.27000000000044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ก.พ.2558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70C0"/>
  </sheetPr>
  <dimension ref="A1:S46"/>
  <sheetViews>
    <sheetView zoomScaleSheetLayoutView="75" workbookViewId="0">
      <selection activeCell="J15" sqref="J15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231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232</v>
      </c>
      <c r="C3" s="149"/>
      <c r="D3" s="149"/>
      <c r="E3" s="149"/>
      <c r="F3" s="149"/>
      <c r="G3" s="149"/>
      <c r="H3" s="149"/>
      <c r="J3" s="150">
        <f>SUM(J4:J7)</f>
        <v>2499.29</v>
      </c>
      <c r="K3" s="150"/>
      <c r="L3" s="149" t="s">
        <v>90</v>
      </c>
    </row>
    <row r="4" spans="1:19">
      <c r="C4" s="146" t="s">
        <v>91</v>
      </c>
      <c r="J4" s="151">
        <v>0.04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1917.03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577.98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4.24</v>
      </c>
      <c r="K7" s="151"/>
      <c r="L7" s="146" t="s">
        <v>90</v>
      </c>
      <c r="N7" s="147" t="s">
        <v>95</v>
      </c>
      <c r="P7" s="152">
        <f>SUM(J6:J7)</f>
        <v>582.22</v>
      </c>
      <c r="Q7" s="153"/>
      <c r="S7" s="173">
        <f>+J4+J6+J7</f>
        <v>582.26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2499.29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3269.9999999999995</v>
      </c>
      <c r="K10" s="157"/>
      <c r="L10" s="156" t="s">
        <v>90</v>
      </c>
    </row>
    <row r="11" spans="1:19">
      <c r="D11" s="146" t="s">
        <v>98</v>
      </c>
      <c r="J11" s="151">
        <f>+I29</f>
        <v>2687.7699999999995</v>
      </c>
      <c r="K11" s="151"/>
      <c r="L11" s="146" t="s">
        <v>90</v>
      </c>
    </row>
    <row r="12" spans="1:19">
      <c r="D12" s="146" t="s">
        <v>99</v>
      </c>
      <c r="J12" s="151">
        <f>+I40</f>
        <v>582.2299999999999</v>
      </c>
      <c r="K12" s="151"/>
      <c r="L12" s="146" t="s">
        <v>90</v>
      </c>
      <c r="N12" s="147">
        <f>79.47+71.91+5.93-2.01</f>
        <v>155.30000000000001</v>
      </c>
      <c r="S12" s="173">
        <f>+J12+J15</f>
        <v>582.23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-770.70999999999947</v>
      </c>
      <c r="K13" s="157"/>
      <c r="L13" s="156" t="s">
        <v>90</v>
      </c>
      <c r="N13" s="159">
        <f>+J14+J11</f>
        <v>1917.06</v>
      </c>
    </row>
    <row r="14" spans="1:19">
      <c r="D14" s="146" t="s">
        <v>98</v>
      </c>
      <c r="J14" s="151">
        <f>+J5-I29+0.04-0.01</f>
        <v>-770.70999999999958</v>
      </c>
      <c r="K14" s="151"/>
      <c r="L14" s="146" t="s">
        <v>90</v>
      </c>
      <c r="N14" s="147">
        <f>+J15+J12</f>
        <v>582.23</v>
      </c>
    </row>
    <row r="15" spans="1:19">
      <c r="D15" s="146" t="s">
        <v>99</v>
      </c>
      <c r="J15" s="151">
        <f>+J4+J6+J7-J12-0.04+0.01</f>
        <v>8.6401372167976831E-14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233</v>
      </c>
      <c r="J18" s="157">
        <f>+J3</f>
        <v>2499.29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3300-3.21-20.67-593.85-5.48-0.03-4.36-1.38</f>
        <v>2671.0199999999995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5.08-0.39-0.41</f>
        <v>4.28</v>
      </c>
      <c r="H29" s="165">
        <f>SUM(G27:G29)</f>
        <v>2675.2999999999997</v>
      </c>
      <c r="I29" s="157">
        <f>+H26+H29</f>
        <v>2687.7699999999995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3.43-0.79-0.09-0.26</f>
        <v>2.29</v>
      </c>
      <c r="H34" s="147"/>
      <c r="I34" s="157"/>
    </row>
    <row r="35" spans="3:14">
      <c r="D35" s="146" t="s">
        <v>110</v>
      </c>
      <c r="G35" s="163">
        <f>3.89-0.07-0.01</f>
        <v>3.8100000000000005</v>
      </c>
      <c r="H35" s="167">
        <f>SUM(G32:G35)</f>
        <v>6.1000000000000005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</f>
        <v>2.5600000000000005</v>
      </c>
      <c r="H37" s="167"/>
      <c r="I37" s="168"/>
      <c r="L37" s="156"/>
    </row>
    <row r="38" spans="3:14">
      <c r="D38" s="146" t="s">
        <v>115</v>
      </c>
      <c r="G38" s="164">
        <f>593.85-8.19-29.28</f>
        <v>556.38</v>
      </c>
      <c r="H38" s="167"/>
      <c r="I38" s="168"/>
      <c r="L38" s="156"/>
    </row>
    <row r="39" spans="3:14">
      <c r="D39" s="146" t="s">
        <v>116</v>
      </c>
      <c r="G39" s="164">
        <f>19.14-1.9+0.03+1.38-2.31+0.41+0.01</f>
        <v>16.760000000000005</v>
      </c>
      <c r="H39" s="167"/>
      <c r="I39" s="168"/>
      <c r="L39" s="156"/>
    </row>
    <row r="40" spans="3:14">
      <c r="D40" s="146" t="s">
        <v>110</v>
      </c>
      <c r="G40" s="163">
        <f>0.08+0.03+0.32</f>
        <v>0.43</v>
      </c>
      <c r="H40" s="165">
        <f>SUM(G37:G40)</f>
        <v>576.12999999999988</v>
      </c>
      <c r="I40" s="168">
        <f>+H35+H40</f>
        <v>582.2299999999999</v>
      </c>
      <c r="J40" s="170">
        <f>+I29+I40</f>
        <v>3269.9999999999995</v>
      </c>
      <c r="L40" s="156"/>
    </row>
    <row r="41" spans="3:14" ht="21.75" thickBot="1">
      <c r="C41" s="156" t="s">
        <v>234</v>
      </c>
      <c r="I41" s="171"/>
      <c r="J41" s="172">
        <f>+J18-J40</f>
        <v>-770.70999999999958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4.24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ม.ค. 2558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70C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E9" sqref="E9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235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241</v>
      </c>
      <c r="E3" s="1" t="s">
        <v>5</v>
      </c>
      <c r="F3" s="2" t="s">
        <v>201</v>
      </c>
      <c r="G3" s="3" t="s">
        <v>198</v>
      </c>
      <c r="H3" s="5" t="s">
        <v>242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51.519999999999996</v>
      </c>
      <c r="H4" s="16">
        <f>SUM(H5:H8)</f>
        <v>11943.17</v>
      </c>
      <c r="I4" s="17">
        <f>SUM(I5:I8)</f>
        <v>3140</v>
      </c>
      <c r="J4" s="18">
        <f>SUM(J5:J8)</f>
        <v>601.42000000000007</v>
      </c>
      <c r="K4" s="19">
        <f>SUM(K5:K8)</f>
        <v>2538.58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1+8.19+29.28</f>
        <v>38.47</v>
      </c>
      <c r="H5" s="27">
        <f>+F5+G5</f>
        <v>8483.369999999999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f>8.04+3.21+1.8</f>
        <v>13.05</v>
      </c>
      <c r="H6" s="27">
        <f>+F6+G6</f>
        <v>3175.2000000000003</v>
      </c>
      <c r="I6" s="33">
        <v>1950</v>
      </c>
      <c r="J6" s="34">
        <f>3.21+4.36</f>
        <v>7.57</v>
      </c>
      <c r="K6" s="35">
        <f>+I6-J6</f>
        <v>1942.43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6.9</v>
      </c>
      <c r="H9" s="16">
        <f>SUM(H10:H18)</f>
        <v>2785.67</v>
      </c>
      <c r="I9" s="17">
        <f>SUM(I15:I16)</f>
        <v>160</v>
      </c>
      <c r="J9" s="50">
        <f>SUM(J15:J16)</f>
        <v>27.56</v>
      </c>
      <c r="K9" s="51">
        <f>SUM(K15:K16)</f>
        <v>132.44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131.69999999999999</v>
      </c>
      <c r="D10" s="24">
        <f>SUM(O11:O17)</f>
        <v>10154.900000000001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3.62</v>
      </c>
      <c r="D11" s="58">
        <f>+B11+C11</f>
        <v>708.93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708.93</v>
      </c>
    </row>
    <row r="12" spans="1:15" s="20" customFormat="1" ht="23.25">
      <c r="A12" s="21" t="s">
        <v>29</v>
      </c>
      <c r="B12" s="31">
        <v>730.91</v>
      </c>
      <c r="C12" s="32">
        <v>9.39</v>
      </c>
      <c r="D12" s="58">
        <f t="shared" ref="D12:D17" si="2">+B12+C12</f>
        <v>740.3</v>
      </c>
      <c r="E12" s="21" t="s">
        <v>30</v>
      </c>
      <c r="F12" s="31">
        <v>86.44</v>
      </c>
      <c r="G12" s="32">
        <v>0</v>
      </c>
      <c r="H12" s="27">
        <f t="shared" si="0"/>
        <v>86.44</v>
      </c>
      <c r="I12" s="33"/>
      <c r="J12" s="43">
        <v>0</v>
      </c>
      <c r="K12" s="44">
        <f>+I12-J12</f>
        <v>0</v>
      </c>
      <c r="L12" s="57"/>
      <c r="O12" s="59">
        <f t="shared" si="1"/>
        <v>740.3</v>
      </c>
    </row>
    <row r="13" spans="1:15" s="20" customFormat="1" ht="23.25">
      <c r="A13" s="21" t="s">
        <v>31</v>
      </c>
      <c r="B13" s="31">
        <v>269.3</v>
      </c>
      <c r="C13" s="32">
        <v>1.95</v>
      </c>
      <c r="D13" s="58">
        <f t="shared" si="2"/>
        <v>271.25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271.25</v>
      </c>
    </row>
    <row r="14" spans="1:15" s="20" customFormat="1" ht="23.25">
      <c r="A14" s="21" t="s">
        <v>33</v>
      </c>
      <c r="B14" s="31">
        <v>6798</v>
      </c>
      <c r="C14" s="32">
        <v>76.2</v>
      </c>
      <c r="D14" s="58">
        <f t="shared" si="2"/>
        <v>6874.2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6874.2</v>
      </c>
    </row>
    <row r="15" spans="1:15" s="20" customFormat="1" ht="23.25">
      <c r="A15" s="21" t="s">
        <v>35</v>
      </c>
      <c r="B15" s="60">
        <v>87.09</v>
      </c>
      <c r="C15" s="32">
        <v>0.45</v>
      </c>
      <c r="D15" s="58">
        <f t="shared" si="2"/>
        <v>87.54</v>
      </c>
      <c r="E15" s="21" t="s">
        <v>36</v>
      </c>
      <c r="F15" s="31">
        <f>1042.74-0.05</f>
        <v>1042.69</v>
      </c>
      <c r="G15" s="32">
        <f>2.26+2.33+2.31</f>
        <v>6.9</v>
      </c>
      <c r="H15" s="27">
        <f t="shared" si="0"/>
        <v>1049.5900000000001</v>
      </c>
      <c r="I15" s="33">
        <v>160</v>
      </c>
      <c r="J15" s="61">
        <f>20.67+5.51+1.38</f>
        <v>27.56</v>
      </c>
      <c r="K15" s="35">
        <f>+I15-J15-J16</f>
        <v>132.44</v>
      </c>
      <c r="L15" s="57"/>
      <c r="O15" s="59">
        <f t="shared" si="1"/>
        <v>87.54</v>
      </c>
    </row>
    <row r="16" spans="1:15" s="20" customFormat="1" ht="23.25">
      <c r="A16" s="21" t="s">
        <v>37</v>
      </c>
      <c r="B16" s="62">
        <v>490.18</v>
      </c>
      <c r="C16" s="32">
        <v>5.59</v>
      </c>
      <c r="D16" s="58">
        <f t="shared" si="2"/>
        <v>495.77</v>
      </c>
      <c r="E16" s="33"/>
      <c r="F16" s="31"/>
      <c r="G16" s="26"/>
      <c r="H16" s="27"/>
      <c r="I16" s="63"/>
      <c r="J16" s="64"/>
      <c r="K16" s="35"/>
      <c r="O16" s="59">
        <f t="shared" si="1"/>
        <v>495.77</v>
      </c>
    </row>
    <row r="17" spans="1:18" s="20" customFormat="1" ht="23.25">
      <c r="A17" s="21" t="s">
        <v>39</v>
      </c>
      <c r="B17" s="65">
        <v>942.41</v>
      </c>
      <c r="C17" s="32">
        <v>34.5</v>
      </c>
      <c r="D17" s="58">
        <f t="shared" si="2"/>
        <v>976.91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976.91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58.419999999999995</v>
      </c>
      <c r="H19" s="83">
        <f>+H4+H9</f>
        <v>14728.84</v>
      </c>
      <c r="I19" s="19">
        <f>+I4+I9</f>
        <v>3300</v>
      </c>
      <c r="J19" s="84">
        <f>+J4+J9</f>
        <v>628.98</v>
      </c>
      <c r="K19" s="51">
        <f>+K4+K9</f>
        <v>2671.02</v>
      </c>
      <c r="M19" s="20">
        <f>F20+G20</f>
        <v>2499.2900000000004</v>
      </c>
      <c r="O19" s="85"/>
    </row>
    <row r="20" spans="1:18" s="20" customFormat="1" ht="23.25">
      <c r="A20" s="86"/>
      <c r="B20" s="74"/>
      <c r="C20" s="71"/>
      <c r="D20" s="80"/>
      <c r="E20" s="87" t="s">
        <v>237</v>
      </c>
      <c r="F20" s="88">
        <f>B22-F19</f>
        <v>2426.0100000000002</v>
      </c>
      <c r="G20" s="89">
        <f>C22-G19</f>
        <v>73.28</v>
      </c>
      <c r="H20" s="90">
        <f>+D22-H19</f>
        <v>2499.2900000000009</v>
      </c>
      <c r="I20" s="225" t="s">
        <v>240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238</v>
      </c>
      <c r="F21" s="95"/>
      <c r="G21" s="96"/>
      <c r="H21" s="97"/>
      <c r="I21" s="214" t="s">
        <v>239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-2499.2900000000009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131.69999999999999</v>
      </c>
      <c r="D22" s="100">
        <f>SUM(D4:D10)</f>
        <v>17228.13</v>
      </c>
      <c r="E22" s="101" t="s">
        <v>46</v>
      </c>
      <c r="F22" s="102">
        <f>SUM(F19:F20)</f>
        <v>17096.43</v>
      </c>
      <c r="G22" s="103">
        <f>SUM(G19:G20)</f>
        <v>131.69999999999999</v>
      </c>
      <c r="H22" s="102">
        <f>+H19+H20</f>
        <v>17228.13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96"/>
      <c r="K25" s="196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2499.2900000000009</v>
      </c>
      <c r="J26" s="111">
        <f>+F40</f>
        <v>586.9799999999999</v>
      </c>
      <c r="K26" s="112">
        <f>+I26-J26</f>
        <v>1912.3100000000009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4.3999999999999995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0.36000000000000004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1.93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579.9799999999999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586.9799999999999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</f>
        <v>0.2</v>
      </c>
      <c r="K61" s="114">
        <f>+G61+H61-I61-J61</f>
        <v>0.36000000000000004</v>
      </c>
      <c r="L61" s="114"/>
      <c r="R61" s="105">
        <f>+K44+K50+K55+K61</f>
        <v>0.36000000000000004</v>
      </c>
    </row>
    <row r="62" spans="5:18" ht="18.75" customHeight="1" thickBot="1">
      <c r="E62" s="113"/>
      <c r="G62" s="120"/>
      <c r="H62" s="114"/>
      <c r="I62" s="114"/>
      <c r="K62" s="134">
        <f>SUM(K58:K61)</f>
        <v>0.36000000000000004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 t="s">
        <v>61</v>
      </c>
      <c r="R63" s="105">
        <f>+J55+J57+J63+J65</f>
        <v>1.76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0.35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0.35</v>
      </c>
      <c r="J65" s="105">
        <f>0.82+0.64+0.26</f>
        <v>1.72</v>
      </c>
      <c r="K65" s="114">
        <f>+G65+H65-I65-J65</f>
        <v>1.93</v>
      </c>
      <c r="L65" s="114"/>
      <c r="R65" s="105">
        <f>+R64+I67</f>
        <v>37.82</v>
      </c>
      <c r="S65" s="105">
        <f>+I51+I56+I57+I65+I67</f>
        <v>37.82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1.93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f>8.19+29.28</f>
        <v>37.47</v>
      </c>
      <c r="J67" s="114"/>
      <c r="K67" s="114">
        <f>+G67+H67-I67-J67</f>
        <v>556.38</v>
      </c>
      <c r="L67" s="114"/>
      <c r="Q67" s="125" t="s">
        <v>61</v>
      </c>
      <c r="R67" s="105">
        <f>+J59+J61+J67+J69</f>
        <v>0.2</v>
      </c>
    </row>
    <row r="68" spans="5:19" ht="18.75" customHeight="1">
      <c r="E68" s="113"/>
      <c r="F68" t="s">
        <v>64</v>
      </c>
      <c r="G68" s="120">
        <v>0</v>
      </c>
      <c r="H68" s="114">
        <f>3.21+4.36</f>
        <v>7.57</v>
      </c>
      <c r="I68" s="114">
        <f>3.21+1.8</f>
        <v>5.01</v>
      </c>
      <c r="J68" s="114"/>
      <c r="K68" s="114">
        <f t="shared" ref="K68" si="6">+G68+H68-I68-J68</f>
        <v>2.5600000000000005</v>
      </c>
      <c r="L68" s="114"/>
      <c r="Q68" s="125" t="s">
        <v>60</v>
      </c>
      <c r="R68" s="105">
        <f>+I55+I61+I69</f>
        <v>6.62</v>
      </c>
    </row>
    <row r="69" spans="5:19" ht="18.75" customHeight="1" thickBot="1">
      <c r="E69" s="113"/>
      <c r="F69" t="s">
        <v>66</v>
      </c>
      <c r="G69" s="120">
        <v>0</v>
      </c>
      <c r="H69" s="114">
        <f>26.15+1.38</f>
        <v>27.529999999999998</v>
      </c>
      <c r="I69" s="114">
        <f>1.93+2.26+2.31-0.01</f>
        <v>6.49</v>
      </c>
      <c r="K69" s="114">
        <f>+G69+H69-I69-J69</f>
        <v>21.04</v>
      </c>
      <c r="L69" s="114"/>
      <c r="R69" s="105">
        <f>+R68+I71</f>
        <v>6.7</v>
      </c>
      <c r="S69" s="105">
        <f>+I55+I60+I61+I69+I71</f>
        <v>6.7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579.9799999999999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0.08+0.03+0.32</f>
        <v>0.43</v>
      </c>
      <c r="I71" s="114">
        <f>0.07+0.01</f>
        <v>0.08</v>
      </c>
      <c r="J71"/>
      <c r="K71" s="114">
        <f>+G71+H71-I71</f>
        <v>4.3999999999999995</v>
      </c>
      <c r="R71" s="105">
        <f>+H58+H59+H67+H68+H69</f>
        <v>628.95000000000005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37.47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586.97999999999979</v>
      </c>
      <c r="M73" s="105">
        <f>+K52+K71+K72</f>
        <v>4.7099999999999991</v>
      </c>
      <c r="R73" s="105">
        <f>+I59+I68</f>
        <v>9.08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9.08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21.4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20.07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6.7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1942.43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132.44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2671.02</v>
      </c>
    </row>
    <row r="84" spans="5:11" ht="23.25" customHeight="1" thickBot="1">
      <c r="E84" s="121" t="s">
        <v>80</v>
      </c>
      <c r="K84" s="141">
        <f>+K73+K77+K83</f>
        <v>3270</v>
      </c>
    </row>
    <row r="85" spans="5:11" ht="18.75" customHeight="1" thickBot="1">
      <c r="E85" s="138" t="s">
        <v>236</v>
      </c>
      <c r="K85" s="142">
        <f>+H20</f>
        <v>2499.2900000000009</v>
      </c>
    </row>
    <row r="86" spans="5:11" ht="23.25" customHeight="1" thickBot="1">
      <c r="E86" s="121" t="s">
        <v>82</v>
      </c>
      <c r="K86" s="143">
        <f>+K85-K84</f>
        <v>-770.70999999999913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ม.ค.2558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7030A0"/>
  </sheetPr>
  <dimension ref="A1:S46"/>
  <sheetViews>
    <sheetView zoomScaleSheetLayoutView="75" workbookViewId="0">
      <selection activeCell="J16" sqref="J16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219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220</v>
      </c>
      <c r="C3" s="149"/>
      <c r="D3" s="149"/>
      <c r="E3" s="149"/>
      <c r="F3" s="149"/>
      <c r="G3" s="149"/>
      <c r="H3" s="149"/>
      <c r="J3" s="150">
        <f>SUM(J4:J7)</f>
        <v>2461.9699999999998</v>
      </c>
      <c r="K3" s="150"/>
      <c r="L3" s="149" t="s">
        <v>90</v>
      </c>
    </row>
    <row r="4" spans="1:19">
      <c r="C4" s="146" t="s">
        <v>91</v>
      </c>
      <c r="J4" s="151">
        <v>4.28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1852.41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601.35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3.93</v>
      </c>
      <c r="K7" s="151"/>
      <c r="L7" s="146" t="s">
        <v>90</v>
      </c>
      <c r="N7" s="147" t="s">
        <v>95</v>
      </c>
      <c r="P7" s="152">
        <f>SUM(J6:J7)</f>
        <v>605.28</v>
      </c>
      <c r="Q7" s="153"/>
      <c r="S7" s="173">
        <f>+J4+J6+J7</f>
        <v>609.55999999999995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2461.9700000000003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3303.4399999999996</v>
      </c>
      <c r="K10" s="157"/>
      <c r="L10" s="156" t="s">
        <v>90</v>
      </c>
    </row>
    <row r="11" spans="1:19">
      <c r="D11" s="146" t="s">
        <v>98</v>
      </c>
      <c r="J11" s="151">
        <f>+I29</f>
        <v>2693.9199999999996</v>
      </c>
      <c r="K11" s="151"/>
      <c r="L11" s="146" t="s">
        <v>90</v>
      </c>
    </row>
    <row r="12" spans="1:19">
      <c r="D12" s="146" t="s">
        <v>99</v>
      </c>
      <c r="J12" s="151">
        <f>+I40</f>
        <v>609.52</v>
      </c>
      <c r="K12" s="151"/>
      <c r="L12" s="146" t="s">
        <v>90</v>
      </c>
      <c r="N12" s="147">
        <f>79.47+71.91+5.93-2.01</f>
        <v>155.30000000000001</v>
      </c>
      <c r="S12" s="173">
        <f>+J12+J15</f>
        <v>609.52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-841.46999999999957</v>
      </c>
      <c r="K13" s="157"/>
      <c r="L13" s="156" t="s">
        <v>90</v>
      </c>
      <c r="N13" s="159">
        <f>+J14+J11</f>
        <v>1852.45</v>
      </c>
    </row>
    <row r="14" spans="1:19">
      <c r="D14" s="146" t="s">
        <v>98</v>
      </c>
      <c r="J14" s="151">
        <f>+J5-I29+0.04</f>
        <v>-841.46999999999957</v>
      </c>
      <c r="K14" s="151"/>
      <c r="L14" s="146" t="s">
        <v>90</v>
      </c>
      <c r="N14" s="147">
        <f>+J15+J12</f>
        <v>609.52</v>
      </c>
    </row>
    <row r="15" spans="1:19">
      <c r="D15" s="146" t="s">
        <v>99</v>
      </c>
      <c r="J15" s="151">
        <f>+J4+J6+J7-J12-0.04</f>
        <v>-3.6380620738185598E-14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221</v>
      </c>
      <c r="J18" s="157">
        <f>+J3</f>
        <v>2461.9699999999998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3300-3.21-20.67-593.85-5.48-0.03</f>
        <v>2676.7599999999998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5.08-0.39</f>
        <v>4.6900000000000004</v>
      </c>
      <c r="H29" s="165">
        <f>SUM(G27:G29)</f>
        <v>2681.45</v>
      </c>
      <c r="I29" s="157">
        <f>+H26+H29</f>
        <v>2693.9199999999996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</f>
        <v>2.0000000000000018E-2</v>
      </c>
      <c r="H33" s="147"/>
      <c r="I33" s="157"/>
    </row>
    <row r="34" spans="3:14">
      <c r="D34" s="146" t="s">
        <v>116</v>
      </c>
      <c r="G34" s="162">
        <f>3.43-0.79</f>
        <v>2.64</v>
      </c>
      <c r="H34" s="147"/>
      <c r="I34" s="157"/>
    </row>
    <row r="35" spans="3:14">
      <c r="D35" s="146" t="s">
        <v>110</v>
      </c>
      <c r="G35" s="163">
        <f>3.89-0.07</f>
        <v>3.8200000000000003</v>
      </c>
      <c r="H35" s="167">
        <f>SUM(G32:G35)</f>
        <v>6.48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</f>
        <v>0</v>
      </c>
      <c r="H37" s="167"/>
      <c r="I37" s="168"/>
      <c r="L37" s="156"/>
    </row>
    <row r="38" spans="3:14">
      <c r="D38" s="146" t="s">
        <v>115</v>
      </c>
      <c r="G38" s="164">
        <f>593.85-8.19</f>
        <v>585.66</v>
      </c>
      <c r="H38" s="167"/>
      <c r="I38" s="168"/>
      <c r="L38" s="156"/>
    </row>
    <row r="39" spans="3:14">
      <c r="D39" s="146" t="s">
        <v>116</v>
      </c>
      <c r="G39" s="164">
        <f>19.14-1.9+0.03</f>
        <v>17.270000000000003</v>
      </c>
      <c r="H39" s="167"/>
      <c r="I39" s="168"/>
      <c r="L39" s="156"/>
    </row>
    <row r="40" spans="3:14">
      <c r="D40" s="146" t="s">
        <v>110</v>
      </c>
      <c r="G40" s="163">
        <f>0.08+0.03</f>
        <v>0.11</v>
      </c>
      <c r="H40" s="165">
        <f>SUM(G37:G40)</f>
        <v>603.04</v>
      </c>
      <c r="I40" s="168">
        <f>+H35+H40</f>
        <v>609.52</v>
      </c>
      <c r="J40" s="170">
        <f>+I29+I40</f>
        <v>3303.4399999999996</v>
      </c>
      <c r="L40" s="156"/>
    </row>
    <row r="41" spans="3:14" ht="21.75" thickBot="1">
      <c r="C41" s="156" t="s">
        <v>222</v>
      </c>
      <c r="I41" s="171"/>
      <c r="J41" s="172">
        <f>+J18-J40</f>
        <v>-841.4699999999998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3.93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10 พ.ย. 2557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7030A0"/>
  </sheetPr>
  <dimension ref="A1:S113"/>
  <sheetViews>
    <sheetView view="pageBreakPreview" zoomScale="90" zoomScaleNormal="90" zoomScaleSheetLayoutView="100" workbookViewId="0">
      <pane xSplit="1" ySplit="3" topLeftCell="E4" activePane="bottomRight" state="frozenSplit"/>
      <selection pane="topRight" activeCell="B1" sqref="B1"/>
      <selection pane="bottomLeft" activeCell="B4" sqref="B4"/>
      <selection pane="bottomRight" activeCell="I32" sqref="I32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223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224</v>
      </c>
      <c r="E3" s="1" t="s">
        <v>5</v>
      </c>
      <c r="F3" s="2" t="s">
        <v>201</v>
      </c>
      <c r="G3" s="3" t="s">
        <v>198</v>
      </c>
      <c r="H3" s="5" t="s">
        <v>225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20.439999999999998</v>
      </c>
      <c r="H4" s="16">
        <f>SUM(H5:H8)</f>
        <v>11912.09</v>
      </c>
      <c r="I4" s="17">
        <f>SUM(I5:I8)</f>
        <v>3140</v>
      </c>
      <c r="J4" s="18">
        <f>SUM(J5:J8)</f>
        <v>597.06000000000006</v>
      </c>
      <c r="K4" s="19">
        <f>SUM(K5:K8)</f>
        <v>2542.94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f>1+8.19</f>
        <v>9.19</v>
      </c>
      <c r="H5" s="27">
        <f>+F5+G5</f>
        <v>8454.09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f>8.04+3.21</f>
        <v>11.25</v>
      </c>
      <c r="H6" s="27">
        <f>+F6+G6</f>
        <v>3173.4</v>
      </c>
      <c r="I6" s="33">
        <v>1950</v>
      </c>
      <c r="J6" s="34">
        <v>3.21</v>
      </c>
      <c r="K6" s="35">
        <f>+I6-J6</f>
        <v>1946.79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4.59</v>
      </c>
      <c r="H9" s="16">
        <f>SUM(H10:H18)</f>
        <v>2783.3599999999997</v>
      </c>
      <c r="I9" s="17">
        <f>SUM(I15:I16)</f>
        <v>160</v>
      </c>
      <c r="J9" s="50">
        <f>SUM(J15:J16)</f>
        <v>26.180000000000003</v>
      </c>
      <c r="K9" s="51">
        <f>SUM(K15:K16)</f>
        <v>133.82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60.989999999999995</v>
      </c>
      <c r="D10" s="24">
        <f>SUM(O11:O17)</f>
        <v>10084.189999999999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1.73</v>
      </c>
      <c r="D11" s="58">
        <f>+B11+C11</f>
        <v>707.04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707.04</v>
      </c>
    </row>
    <row r="12" spans="1:15" s="20" customFormat="1" ht="23.25">
      <c r="A12" s="21" t="s">
        <v>29</v>
      </c>
      <c r="B12" s="31">
        <v>730.91</v>
      </c>
      <c r="C12" s="32">
        <v>5.85</v>
      </c>
      <c r="D12" s="58">
        <f t="shared" ref="D12:D17" si="2">+B12+C12</f>
        <v>736.76</v>
      </c>
      <c r="E12" s="21" t="s">
        <v>30</v>
      </c>
      <c r="F12" s="31">
        <v>86.44</v>
      </c>
      <c r="G12" s="32">
        <v>0</v>
      </c>
      <c r="H12" s="27">
        <f t="shared" si="0"/>
        <v>86.44</v>
      </c>
      <c r="I12" s="33"/>
      <c r="J12" s="43">
        <v>0</v>
      </c>
      <c r="K12" s="44">
        <f>+I12-J12</f>
        <v>0</v>
      </c>
      <c r="L12" s="57"/>
      <c r="O12" s="59">
        <f t="shared" si="1"/>
        <v>736.76</v>
      </c>
    </row>
    <row r="13" spans="1:15" s="20" customFormat="1" ht="23.25">
      <c r="A13" s="21" t="s">
        <v>31</v>
      </c>
      <c r="B13" s="31">
        <v>269.3</v>
      </c>
      <c r="C13" s="32">
        <v>1.23</v>
      </c>
      <c r="D13" s="58">
        <f t="shared" si="2"/>
        <v>270.53000000000003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270.53000000000003</v>
      </c>
    </row>
    <row r="14" spans="1:15" s="20" customFormat="1" ht="23.25">
      <c r="A14" s="21" t="s">
        <v>33</v>
      </c>
      <c r="B14" s="31">
        <v>6798</v>
      </c>
      <c r="C14" s="32">
        <v>22.73</v>
      </c>
      <c r="D14" s="58">
        <f t="shared" si="2"/>
        <v>6820.73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6820.73</v>
      </c>
    </row>
    <row r="15" spans="1:15" s="20" customFormat="1" ht="23.25">
      <c r="A15" s="21" t="s">
        <v>35</v>
      </c>
      <c r="B15" s="60">
        <v>87.09</v>
      </c>
      <c r="C15" s="32">
        <v>0.33</v>
      </c>
      <c r="D15" s="58">
        <f t="shared" si="2"/>
        <v>87.42</v>
      </c>
      <c r="E15" s="21" t="s">
        <v>36</v>
      </c>
      <c r="F15" s="31">
        <f>1042.74-0.05</f>
        <v>1042.69</v>
      </c>
      <c r="G15" s="32">
        <f>2.26+2.33</f>
        <v>4.59</v>
      </c>
      <c r="H15" s="27">
        <f t="shared" si="0"/>
        <v>1047.28</v>
      </c>
      <c r="I15" s="33">
        <v>160</v>
      </c>
      <c r="J15" s="61">
        <f>20.67</f>
        <v>20.67</v>
      </c>
      <c r="K15" s="35">
        <f>+I15-J15-J16</f>
        <v>133.82</v>
      </c>
      <c r="L15" s="57"/>
      <c r="O15" s="59">
        <f t="shared" si="1"/>
        <v>87.42</v>
      </c>
    </row>
    <row r="16" spans="1:15" s="20" customFormat="1" ht="23.25">
      <c r="A16" s="21" t="s">
        <v>37</v>
      </c>
      <c r="B16" s="62">
        <v>490.18</v>
      </c>
      <c r="C16" s="32">
        <v>2.13</v>
      </c>
      <c r="D16" s="58">
        <f t="shared" si="2"/>
        <v>492.31</v>
      </c>
      <c r="E16" s="33" t="s">
        <v>38</v>
      </c>
      <c r="F16" s="31"/>
      <c r="G16" s="26"/>
      <c r="H16" s="27"/>
      <c r="I16" s="63"/>
      <c r="J16" s="64">
        <f>5.48+0.03</f>
        <v>5.5100000000000007</v>
      </c>
      <c r="K16" s="35"/>
      <c r="O16" s="59">
        <f t="shared" si="1"/>
        <v>492.31</v>
      </c>
    </row>
    <row r="17" spans="1:18" s="20" customFormat="1" ht="23.25">
      <c r="A17" s="21" t="s">
        <v>39</v>
      </c>
      <c r="B17" s="65">
        <v>942.41</v>
      </c>
      <c r="C17" s="32">
        <v>26.99</v>
      </c>
      <c r="D17" s="58">
        <f t="shared" si="2"/>
        <v>969.4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969.4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25.029999999999998</v>
      </c>
      <c r="H19" s="83">
        <f>+H4+H9</f>
        <v>14695.45</v>
      </c>
      <c r="I19" s="19">
        <f>+I4+I9</f>
        <v>3300</v>
      </c>
      <c r="J19" s="84">
        <f>+J4+J9</f>
        <v>623.24</v>
      </c>
      <c r="K19" s="51">
        <f>+K4+K9</f>
        <v>2676.76</v>
      </c>
      <c r="M19" s="20">
        <f>F20+G20</f>
        <v>2461.9700000000003</v>
      </c>
      <c r="O19" s="85"/>
    </row>
    <row r="20" spans="1:18" s="20" customFormat="1" ht="23.25">
      <c r="A20" s="86"/>
      <c r="B20" s="74"/>
      <c r="C20" s="71"/>
      <c r="D20" s="80"/>
      <c r="E20" s="87" t="s">
        <v>227</v>
      </c>
      <c r="F20" s="88">
        <f>B22-F19</f>
        <v>2426.0100000000002</v>
      </c>
      <c r="G20" s="89">
        <f>C22-G19</f>
        <v>35.959999999999994</v>
      </c>
      <c r="H20" s="90">
        <f>+D22-H19</f>
        <v>2461.9699999999975</v>
      </c>
      <c r="I20" s="225" t="s">
        <v>229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228</v>
      </c>
      <c r="F21" s="95"/>
      <c r="G21" s="96"/>
      <c r="H21" s="97"/>
      <c r="I21" s="214" t="s">
        <v>230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-2461.9699999999975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60.989999999999995</v>
      </c>
      <c r="D22" s="100">
        <f>SUM(D4:D10)</f>
        <v>17157.419999999998</v>
      </c>
      <c r="E22" s="101" t="s">
        <v>46</v>
      </c>
      <c r="F22" s="102">
        <f>SUM(F19:F20)</f>
        <v>17096.43</v>
      </c>
      <c r="G22" s="103">
        <f>SUM(G19:G20)</f>
        <v>60.989999999999995</v>
      </c>
      <c r="H22" s="102">
        <f>+H19+H20</f>
        <v>17157.419999999998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95"/>
      <c r="K25" s="195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2461.9699999999975</v>
      </c>
      <c r="J26" s="111">
        <f>+F40</f>
        <v>614.67999999999995</v>
      </c>
      <c r="K26" s="112">
        <f>+I26-J26</f>
        <v>1847.2899999999977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4.09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0.45000000000000007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2.21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607.62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614.67999999999995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v>0.11</v>
      </c>
      <c r="K61" s="114">
        <f>+G61+H61-I61-J61</f>
        <v>0.45000000000000007</v>
      </c>
      <c r="L61" s="114"/>
      <c r="R61" s="105">
        <f>+K44+K50+K55+K61</f>
        <v>0.45000000000000007</v>
      </c>
    </row>
    <row r="62" spans="5:18" ht="18.75" customHeight="1" thickBot="1">
      <c r="E62" s="113"/>
      <c r="G62" s="120"/>
      <c r="H62" s="114"/>
      <c r="I62" s="114"/>
      <c r="K62" s="134">
        <f>SUM(K58:K61)</f>
        <v>0.45000000000000007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/>
      <c r="K63" s="114">
        <f>+G63+H63-I63-J63</f>
        <v>2.0000000000000018E-2</v>
      </c>
      <c r="L63" s="114"/>
      <c r="Q63" s="125" t="s">
        <v>61</v>
      </c>
      <c r="R63" s="105">
        <f>+J55+J57+J63+J65</f>
        <v>1.48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0.35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0.35</v>
      </c>
      <c r="J65" s="105">
        <f>0.82+0.64</f>
        <v>1.46</v>
      </c>
      <c r="K65" s="114">
        <f>+G65+H65-I65-J65</f>
        <v>2.19</v>
      </c>
      <c r="L65" s="114"/>
      <c r="R65" s="105">
        <f>+R64+I67</f>
        <v>8.5399999999999991</v>
      </c>
      <c r="S65" s="105">
        <f>+I51+I56+I57+I65+I67</f>
        <v>8.5399999999999991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2.21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>
        <v>8.19</v>
      </c>
      <c r="J67" s="114"/>
      <c r="K67" s="114">
        <f>+G67+H67-I67-J67</f>
        <v>585.66</v>
      </c>
      <c r="L67" s="114"/>
      <c r="Q67" s="125" t="s">
        <v>61</v>
      </c>
      <c r="R67" s="105">
        <f>+J59+J61+J67+J69</f>
        <v>0.11</v>
      </c>
    </row>
    <row r="68" spans="5:19" ht="18.75" customHeight="1">
      <c r="E68" s="113"/>
      <c r="F68" t="s">
        <v>64</v>
      </c>
      <c r="G68" s="120">
        <v>0</v>
      </c>
      <c r="H68" s="114">
        <v>3.21</v>
      </c>
      <c r="I68" s="114">
        <v>3.21</v>
      </c>
      <c r="J68" s="114"/>
      <c r="K68" s="114">
        <f t="shared" ref="K68" si="6">+G68+H68-I68-J68</f>
        <v>0</v>
      </c>
      <c r="L68" s="114"/>
      <c r="Q68" s="125" t="s">
        <v>60</v>
      </c>
      <c r="R68" s="105">
        <f>+I55+I61+I69</f>
        <v>4.3199999999999994</v>
      </c>
    </row>
    <row r="69" spans="5:19" ht="18.75" customHeight="1" thickBot="1">
      <c r="E69" s="113"/>
      <c r="F69" t="s">
        <v>66</v>
      </c>
      <c r="G69" s="120">
        <v>0</v>
      </c>
      <c r="H69" s="114">
        <f>26.15</f>
        <v>26.15</v>
      </c>
      <c r="I69" s="114">
        <f>1.93+2.26</f>
        <v>4.1899999999999995</v>
      </c>
      <c r="K69" s="114">
        <f>+G69+H69-I69-J69</f>
        <v>21.96</v>
      </c>
      <c r="L69" s="114"/>
      <c r="R69" s="105">
        <f>+R68+I71</f>
        <v>4.3899999999999997</v>
      </c>
      <c r="S69" s="105">
        <f>+I55+I60+I61+I69+I71</f>
        <v>4.3899999999999997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607.62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f>0.08+0.03</f>
        <v>0.11</v>
      </c>
      <c r="I71" s="114">
        <v>7.0000000000000007E-2</v>
      </c>
      <c r="J71"/>
      <c r="K71" s="114">
        <f>+G71+H71-I71</f>
        <v>4.09</v>
      </c>
      <c r="R71" s="105">
        <f>+H58+H59+H67+H68+H69</f>
        <v>623.21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8.19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614.68000000000006</v>
      </c>
      <c r="M73" s="105">
        <f>+K52+K71+K72</f>
        <v>4.3999999999999995</v>
      </c>
      <c r="R73" s="105">
        <f>+I59+I68</f>
        <v>7.28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7.28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22.41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21.08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4.3899999999999997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1946.79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133.82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2676.76</v>
      </c>
    </row>
    <row r="84" spans="5:11" ht="23.25" customHeight="1" thickBot="1">
      <c r="E84" s="121" t="s">
        <v>80</v>
      </c>
      <c r="K84" s="141">
        <f>+K73+K77+K83</f>
        <v>3303.4400000000005</v>
      </c>
    </row>
    <row r="85" spans="5:11" ht="18.75" customHeight="1" thickBot="1">
      <c r="E85" s="138" t="s">
        <v>226</v>
      </c>
      <c r="K85" s="142">
        <f>+H20</f>
        <v>2461.9699999999975</v>
      </c>
    </row>
    <row r="86" spans="5:11" ht="23.25" customHeight="1" thickBot="1">
      <c r="E86" s="121" t="s">
        <v>82</v>
      </c>
      <c r="K86" s="143">
        <f>+K85-K84</f>
        <v>-841.47000000000298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พ.ย. 2557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B050"/>
  </sheetPr>
  <dimension ref="A1:S46"/>
  <sheetViews>
    <sheetView topLeftCell="A7" zoomScaleSheetLayoutView="75" workbookViewId="0">
      <selection activeCell="G29" sqref="G29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208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209</v>
      </c>
      <c r="C3" s="149"/>
      <c r="D3" s="149"/>
      <c r="E3" s="149"/>
      <c r="F3" s="149"/>
      <c r="G3" s="149"/>
      <c r="H3" s="149"/>
      <c r="J3" s="150">
        <f>SUM(J4:J7)</f>
        <v>2445.54</v>
      </c>
      <c r="K3" s="150"/>
      <c r="L3" s="149" t="s">
        <v>90</v>
      </c>
    </row>
    <row r="4" spans="1:19">
      <c r="C4" s="146" t="s">
        <v>91</v>
      </c>
      <c r="J4" s="151">
        <v>0.18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1821.78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619.62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3.96</v>
      </c>
      <c r="K7" s="151"/>
      <c r="L7" s="146" t="s">
        <v>90</v>
      </c>
      <c r="N7" s="147" t="s">
        <v>95</v>
      </c>
      <c r="P7" s="152">
        <f>SUM(J6:J7)</f>
        <v>623.58000000000004</v>
      </c>
      <c r="Q7" s="153"/>
      <c r="S7" s="173">
        <f>+J4+J6+J7</f>
        <v>623.76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2445.54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3317.96</v>
      </c>
      <c r="K10" s="157"/>
      <c r="L10" s="156" t="s">
        <v>90</v>
      </c>
    </row>
    <row r="11" spans="1:19">
      <c r="D11" s="146" t="s">
        <v>98</v>
      </c>
      <c r="J11" s="151">
        <f>+I29</f>
        <v>2694.3399999999997</v>
      </c>
      <c r="K11" s="151"/>
      <c r="L11" s="146" t="s">
        <v>90</v>
      </c>
    </row>
    <row r="12" spans="1:19">
      <c r="D12" s="146" t="s">
        <v>99</v>
      </c>
      <c r="J12" s="151">
        <f>+I40</f>
        <v>623.62000000000012</v>
      </c>
      <c r="K12" s="151"/>
      <c r="L12" s="146" t="s">
        <v>90</v>
      </c>
      <c r="N12" s="147">
        <f>79.47+71.91+5.93-2.01</f>
        <v>155.30000000000001</v>
      </c>
      <c r="S12" s="173">
        <f>+J12+J15</f>
        <v>623.76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-872.41999999999985</v>
      </c>
      <c r="K13" s="157"/>
      <c r="L13" s="156" t="s">
        <v>90</v>
      </c>
      <c r="N13" s="159">
        <f>+J14+J11</f>
        <v>1821.78</v>
      </c>
    </row>
    <row r="14" spans="1:19">
      <c r="D14" s="146" t="s">
        <v>98</v>
      </c>
      <c r="J14" s="151">
        <f>+J5-I29</f>
        <v>-872.55999999999972</v>
      </c>
      <c r="K14" s="151"/>
      <c r="L14" s="146" t="s">
        <v>90</v>
      </c>
      <c r="N14" s="147">
        <f>+J15+J12</f>
        <v>623.76</v>
      </c>
    </row>
    <row r="15" spans="1:19">
      <c r="D15" s="146" t="s">
        <v>99</v>
      </c>
      <c r="J15" s="151">
        <f>+J4+J6+J7-J12</f>
        <v>0.13999999999987267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210</v>
      </c>
      <c r="J18" s="157">
        <f>+J3</f>
        <v>2445.54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112</v>
      </c>
      <c r="G21" s="151"/>
      <c r="H21" s="153"/>
      <c r="I21" s="157"/>
    </row>
    <row r="22" spans="2:12" hidden="1">
      <c r="D22" s="146" t="s">
        <v>106</v>
      </c>
      <c r="G22" s="147">
        <v>0</v>
      </c>
      <c r="H22" s="153"/>
      <c r="I22" s="157"/>
    </row>
    <row r="23" spans="2:12">
      <c r="D23" s="146" t="s">
        <v>107</v>
      </c>
      <c r="G23" s="147">
        <v>12</v>
      </c>
      <c r="H23" s="153"/>
      <c r="I23" s="157"/>
    </row>
    <row r="24" spans="2:12" hidden="1">
      <c r="D24" s="146" t="s">
        <v>109</v>
      </c>
      <c r="G24" s="162">
        <v>0</v>
      </c>
      <c r="H24" s="151"/>
      <c r="I24" s="157"/>
    </row>
    <row r="25" spans="2:12">
      <c r="D25" s="146" t="s">
        <v>110</v>
      </c>
      <c r="G25" s="162">
        <v>0.16</v>
      </c>
      <c r="H25" s="151"/>
      <c r="I25" s="157"/>
    </row>
    <row r="26" spans="2:12">
      <c r="D26" s="146" t="s">
        <v>111</v>
      </c>
      <c r="G26" s="163">
        <v>0.31</v>
      </c>
      <c r="H26" s="147">
        <f>SUM(G22:G26)</f>
        <v>12.47</v>
      </c>
      <c r="I26" s="157"/>
    </row>
    <row r="27" spans="2:12">
      <c r="D27" s="156" t="s">
        <v>211</v>
      </c>
      <c r="G27" s="164">
        <f>3300-3.21-20.67-593.85-5.48</f>
        <v>2676.79</v>
      </c>
      <c r="H27" s="147"/>
      <c r="I27" s="157"/>
    </row>
    <row r="28" spans="2:12" hidden="1">
      <c r="D28" s="146" t="s">
        <v>192</v>
      </c>
      <c r="G28" s="164"/>
      <c r="H28" s="147"/>
      <c r="I28" s="157"/>
    </row>
    <row r="29" spans="2:12">
      <c r="D29" s="146" t="s">
        <v>189</v>
      </c>
      <c r="G29" s="163">
        <f>5.48-0.4</f>
        <v>5.08</v>
      </c>
      <c r="H29" s="165">
        <f>SUM(G27:G29)</f>
        <v>2681.87</v>
      </c>
      <c r="I29" s="157">
        <f>+H26+H29</f>
        <v>2694.3399999999997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112</v>
      </c>
      <c r="G31" s="162"/>
      <c r="H31" s="166"/>
      <c r="I31" s="157"/>
    </row>
    <row r="32" spans="2:12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</f>
        <v>2.0000000000000018E-2</v>
      </c>
      <c r="H33" s="147"/>
      <c r="I33" s="157"/>
    </row>
    <row r="34" spans="3:14">
      <c r="D34" s="146" t="s">
        <v>116</v>
      </c>
      <c r="G34" s="162">
        <f>0.6+3.44-0.35-0.26</f>
        <v>3.4299999999999997</v>
      </c>
      <c r="H34" s="147"/>
      <c r="I34" s="157"/>
    </row>
    <row r="35" spans="3:14">
      <c r="D35" s="146" t="s">
        <v>110</v>
      </c>
      <c r="G35" s="163">
        <v>3.89</v>
      </c>
      <c r="H35" s="167">
        <f>SUM(G32:G35)</f>
        <v>7.34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v>3.21</v>
      </c>
      <c r="H37" s="167"/>
      <c r="I37" s="168"/>
      <c r="L37" s="156"/>
    </row>
    <row r="38" spans="3:14">
      <c r="D38" s="146" t="s">
        <v>115</v>
      </c>
      <c r="G38" s="164">
        <v>593.85</v>
      </c>
      <c r="H38" s="167"/>
      <c r="I38" s="168"/>
      <c r="L38" s="156"/>
    </row>
    <row r="39" spans="3:14">
      <c r="D39" s="146" t="s">
        <v>116</v>
      </c>
      <c r="G39" s="164">
        <f>20.67-1.53</f>
        <v>19.14</v>
      </c>
      <c r="H39" s="167"/>
      <c r="I39" s="168"/>
      <c r="L39" s="156"/>
    </row>
    <row r="40" spans="3:14">
      <c r="D40" s="146" t="s">
        <v>110</v>
      </c>
      <c r="G40" s="163">
        <v>0.08</v>
      </c>
      <c r="H40" s="165">
        <f>SUM(G37:G40)</f>
        <v>616.28000000000009</v>
      </c>
      <c r="I40" s="168">
        <f>+H35+H40</f>
        <v>623.62000000000012</v>
      </c>
      <c r="J40" s="170">
        <f>+I29+I40</f>
        <v>3317.96</v>
      </c>
      <c r="L40" s="156"/>
    </row>
    <row r="41" spans="3:14" ht="21.75" thickBot="1">
      <c r="C41" s="156" t="s">
        <v>207</v>
      </c>
      <c r="I41" s="171"/>
      <c r="J41" s="172">
        <f>+J18-J40</f>
        <v>-872.42000000000007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3.97</v>
      </c>
    </row>
    <row r="46" spans="3:14" hidden="1">
      <c r="G46" s="152">
        <f>+J7-G45</f>
        <v>-1.0000000000000231E-2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10 พ.ย. 2557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B050"/>
  </sheetPr>
  <dimension ref="A1:S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A2" sqref="A2:D2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218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200</v>
      </c>
      <c r="E3" s="1" t="s">
        <v>5</v>
      </c>
      <c r="F3" s="2" t="s">
        <v>201</v>
      </c>
      <c r="G3" s="3" t="s">
        <v>198</v>
      </c>
      <c r="H3" s="5" t="s">
        <v>202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9.0399999999999991</v>
      </c>
      <c r="H4" s="16">
        <f>SUM(H5:H8)</f>
        <v>11900.69</v>
      </c>
      <c r="I4" s="17">
        <f>SUM(I5:I8)</f>
        <v>3140</v>
      </c>
      <c r="J4" s="18">
        <f>SUM(J5:J8)</f>
        <v>597.06000000000006</v>
      </c>
      <c r="K4" s="19">
        <f>SUM(K5:K8)</f>
        <v>2542.94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1</v>
      </c>
      <c r="H5" s="27">
        <f>+F5+G5</f>
        <v>8445.9</v>
      </c>
      <c r="I5" s="28">
        <v>640</v>
      </c>
      <c r="J5" s="29">
        <v>593.85</v>
      </c>
      <c r="K5" s="30">
        <f>+I5-J5</f>
        <v>46.149999999999977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8.0399999999999991</v>
      </c>
      <c r="H6" s="27">
        <f>+F6+G6</f>
        <v>3170.19</v>
      </c>
      <c r="I6" s="33">
        <v>1950</v>
      </c>
      <c r="J6" s="34">
        <v>3.21</v>
      </c>
      <c r="K6" s="35">
        <f>+I6-J6</f>
        <v>1946.79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2.2599999999999998</v>
      </c>
      <c r="H9" s="16">
        <f>SUM(H10:H18)</f>
        <v>2781.0299999999997</v>
      </c>
      <c r="I9" s="17">
        <f>SUM(I15:I16)</f>
        <v>160</v>
      </c>
      <c r="J9" s="50">
        <f>SUM(J15:J16)</f>
        <v>26.150000000000002</v>
      </c>
      <c r="K9" s="51">
        <f>SUM(K15:K16)</f>
        <v>133.85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30.83</v>
      </c>
      <c r="D10" s="24">
        <f>SUM(O11:O17)</f>
        <v>10054.030000000001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0.89</v>
      </c>
      <c r="D11" s="58">
        <f>+B11+C11</f>
        <v>706.19999999999993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706.19999999999993</v>
      </c>
    </row>
    <row r="12" spans="1:15" s="20" customFormat="1" ht="23.25">
      <c r="A12" s="21" t="s">
        <v>29</v>
      </c>
      <c r="B12" s="31">
        <v>730.91</v>
      </c>
      <c r="C12" s="32">
        <v>2.89</v>
      </c>
      <c r="D12" s="58">
        <f t="shared" ref="D12:D17" si="2">+B12+C12</f>
        <v>733.8</v>
      </c>
      <c r="E12" s="21" t="s">
        <v>30</v>
      </c>
      <c r="F12" s="31">
        <v>86.44</v>
      </c>
      <c r="G12" s="32">
        <v>0</v>
      </c>
      <c r="H12" s="27">
        <f t="shared" si="0"/>
        <v>86.44</v>
      </c>
      <c r="I12" s="33"/>
      <c r="J12" s="43">
        <v>0</v>
      </c>
      <c r="K12" s="44">
        <f>+I12-J12</f>
        <v>0</v>
      </c>
      <c r="L12" s="57"/>
      <c r="O12" s="59">
        <f t="shared" si="1"/>
        <v>733.8</v>
      </c>
    </row>
    <row r="13" spans="1:15" s="20" customFormat="1" ht="23.25">
      <c r="A13" s="21" t="s">
        <v>31</v>
      </c>
      <c r="B13" s="31">
        <v>269.3</v>
      </c>
      <c r="C13" s="32">
        <v>0.7</v>
      </c>
      <c r="D13" s="58">
        <f t="shared" si="2"/>
        <v>270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270</v>
      </c>
    </row>
    <row r="14" spans="1:15" s="20" customFormat="1" ht="23.25">
      <c r="A14" s="21" t="s">
        <v>33</v>
      </c>
      <c r="B14" s="31">
        <v>6798</v>
      </c>
      <c r="C14" s="32">
        <v>8.6999999999999993</v>
      </c>
      <c r="D14" s="58">
        <f t="shared" si="2"/>
        <v>6806.7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6806.7</v>
      </c>
    </row>
    <row r="15" spans="1:15" s="20" customFormat="1" ht="23.25">
      <c r="A15" s="21" t="s">
        <v>35</v>
      </c>
      <c r="B15" s="60">
        <v>87.09</v>
      </c>
      <c r="C15" s="32">
        <v>0.18</v>
      </c>
      <c r="D15" s="58">
        <f t="shared" si="2"/>
        <v>87.27000000000001</v>
      </c>
      <c r="E15" s="21" t="s">
        <v>36</v>
      </c>
      <c r="F15" s="31">
        <f>1042.74-0.05</f>
        <v>1042.69</v>
      </c>
      <c r="G15" s="32">
        <v>2.2599999999999998</v>
      </c>
      <c r="H15" s="27">
        <f t="shared" si="0"/>
        <v>1044.95</v>
      </c>
      <c r="I15" s="33">
        <v>160</v>
      </c>
      <c r="J15" s="61">
        <f>20.67</f>
        <v>20.67</v>
      </c>
      <c r="K15" s="35">
        <f>+I15-J15-J16</f>
        <v>133.85</v>
      </c>
      <c r="L15" s="57"/>
      <c r="O15" s="59">
        <f t="shared" si="1"/>
        <v>87.27000000000001</v>
      </c>
    </row>
    <row r="16" spans="1:15" s="20" customFormat="1" ht="23.25">
      <c r="A16" s="21" t="s">
        <v>37</v>
      </c>
      <c r="B16" s="62">
        <v>490.18</v>
      </c>
      <c r="C16" s="32">
        <v>0.92</v>
      </c>
      <c r="D16" s="58">
        <f t="shared" si="2"/>
        <v>491.1</v>
      </c>
      <c r="E16" s="33" t="s">
        <v>38</v>
      </c>
      <c r="F16" s="31"/>
      <c r="G16" s="26"/>
      <c r="H16" s="27"/>
      <c r="I16" s="63"/>
      <c r="J16" s="64">
        <v>5.48</v>
      </c>
      <c r="K16" s="35"/>
      <c r="O16" s="59">
        <f t="shared" si="1"/>
        <v>491.1</v>
      </c>
    </row>
    <row r="17" spans="1:18" s="20" customFormat="1" ht="23.25">
      <c r="A17" s="21" t="s">
        <v>39</v>
      </c>
      <c r="B17" s="65">
        <v>942.41</v>
      </c>
      <c r="C17" s="32">
        <v>16.55</v>
      </c>
      <c r="D17" s="58">
        <f t="shared" si="2"/>
        <v>958.95999999999992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958.95999999999992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11.299999999999999</v>
      </c>
      <c r="H19" s="83">
        <f>+H4+H9</f>
        <v>14681.720000000001</v>
      </c>
      <c r="I19" s="19">
        <f>+I4+I9</f>
        <v>3300</v>
      </c>
      <c r="J19" s="84">
        <f>+J4+J9</f>
        <v>623.21</v>
      </c>
      <c r="K19" s="51">
        <f>+K4+K9</f>
        <v>2676.79</v>
      </c>
      <c r="M19" s="20">
        <f>F20+G20</f>
        <v>2445.5400000000004</v>
      </c>
      <c r="O19" s="85"/>
    </row>
    <row r="20" spans="1:18" s="20" customFormat="1" ht="23.25">
      <c r="A20" s="86"/>
      <c r="B20" s="74"/>
      <c r="C20" s="71"/>
      <c r="D20" s="80"/>
      <c r="E20" s="87" t="s">
        <v>214</v>
      </c>
      <c r="F20" s="88">
        <f>B22-F19</f>
        <v>2426.0100000000002</v>
      </c>
      <c r="G20" s="89">
        <f>C22-G19</f>
        <v>19.53</v>
      </c>
      <c r="H20" s="90">
        <f>+D22-H19</f>
        <v>2445.5400000000009</v>
      </c>
      <c r="I20" s="225" t="s">
        <v>216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215</v>
      </c>
      <c r="F21" s="95"/>
      <c r="G21" s="96"/>
      <c r="H21" s="97"/>
      <c r="I21" s="214" t="s">
        <v>217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-2445.5400000000009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30.83</v>
      </c>
      <c r="D22" s="100">
        <f>SUM(D4:D10)</f>
        <v>17127.260000000002</v>
      </c>
      <c r="E22" s="101" t="s">
        <v>46</v>
      </c>
      <c r="F22" s="102">
        <f>SUM(F19:F20)</f>
        <v>17096.43</v>
      </c>
      <c r="G22" s="103">
        <f>SUM(G19:G20)</f>
        <v>30.83</v>
      </c>
      <c r="H22" s="102">
        <f>+H19+H20</f>
        <v>17127.260000000002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9"/>
      <c r="K25" s="179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2445.5400000000009</v>
      </c>
      <c r="J26" s="111">
        <f>+F40</f>
        <v>629.17000000000007</v>
      </c>
      <c r="K26" s="112">
        <f>+I26-J26</f>
        <v>1816.3700000000008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4.13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0.04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0.56000000000000005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2.85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621.28000000000009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629.17000000000007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</v>
      </c>
      <c r="K44" s="114">
        <f>+G44+H44-I44-J44</f>
        <v>0.04</v>
      </c>
      <c r="L44" s="127" t="s">
        <v>67</v>
      </c>
      <c r="P44" t="s">
        <v>68</v>
      </c>
    </row>
    <row r="45" spans="1:16" ht="21" hidden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0.04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K61" s="114">
        <f>+G61+H61-I61-J61</f>
        <v>0.56000000000000005</v>
      </c>
      <c r="L61" s="114"/>
      <c r="R61" s="105">
        <f>+K44+K50+K55+K61</f>
        <v>0.60000000000000009</v>
      </c>
    </row>
    <row r="62" spans="5:18" ht="18.75" customHeight="1" thickBot="1">
      <c r="E62" s="113"/>
      <c r="G62" s="120"/>
      <c r="H62" s="114"/>
      <c r="I62" s="114"/>
      <c r="K62" s="134">
        <f>SUM(K58:K61)</f>
        <v>0.56000000000000005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/>
      <c r="K63" s="114">
        <f>+G63+H63-I63-J63</f>
        <v>2.0000000000000018E-2</v>
      </c>
      <c r="L63" s="114"/>
      <c r="Q63" s="125" t="s">
        <v>61</v>
      </c>
      <c r="R63" s="105">
        <f>+J55+J57+J63+J65</f>
        <v>0.84000000000000008</v>
      </c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 t="s">
        <v>60</v>
      </c>
      <c r="R64" s="105">
        <f>+I51+I57+I65</f>
        <v>0.35</v>
      </c>
    </row>
    <row r="65" spans="5:19" ht="18.75" customHeight="1" thickBot="1">
      <c r="E65" s="113"/>
      <c r="F65" t="s">
        <v>66</v>
      </c>
      <c r="G65" s="120">
        <v>4</v>
      </c>
      <c r="H65" s="114">
        <v>0</v>
      </c>
      <c r="I65" s="114">
        <v>0.35</v>
      </c>
      <c r="J65" s="105">
        <f>0.06+0.5+0.26</f>
        <v>0.82000000000000006</v>
      </c>
      <c r="K65" s="114">
        <f>+G65+H65-I65-J65</f>
        <v>2.83</v>
      </c>
      <c r="L65" s="114"/>
      <c r="R65" s="105">
        <f>+R64+I67</f>
        <v>0.35</v>
      </c>
      <c r="S65" s="105">
        <f>+I51+I56+I57+I65+I67</f>
        <v>0.35</v>
      </c>
    </row>
    <row r="66" spans="5:19" ht="18.75" customHeight="1" thickBot="1">
      <c r="E66" s="113"/>
      <c r="G66" s="120"/>
      <c r="H66" s="114"/>
      <c r="I66" s="114"/>
      <c r="J66" s="114"/>
      <c r="K66" s="134">
        <f>SUM(K63:K65)</f>
        <v>2.85</v>
      </c>
      <c r="L66" s="114"/>
    </row>
    <row r="67" spans="5:19" ht="18.75" customHeight="1">
      <c r="E67" s="121" t="s">
        <v>204</v>
      </c>
      <c r="F67" t="s">
        <v>63</v>
      </c>
      <c r="G67" s="120">
        <v>0</v>
      </c>
      <c r="H67" s="114">
        <v>593.85</v>
      </c>
      <c r="I67" s="114"/>
      <c r="J67" s="114"/>
      <c r="K67" s="114">
        <f>+G67+H67-I67-J67</f>
        <v>593.85</v>
      </c>
      <c r="L67" s="114"/>
      <c r="Q67" s="125" t="s">
        <v>61</v>
      </c>
      <c r="R67" s="105">
        <f>+J59+J61+J67+J69</f>
        <v>0</v>
      </c>
    </row>
    <row r="68" spans="5:19" ht="18.75" customHeight="1">
      <c r="E68" s="113"/>
      <c r="F68" t="s">
        <v>64</v>
      </c>
      <c r="G68" s="120">
        <v>0</v>
      </c>
      <c r="H68" s="114">
        <v>3.21</v>
      </c>
      <c r="I68" s="114"/>
      <c r="J68" s="114"/>
      <c r="K68" s="114">
        <f t="shared" ref="K68" si="6">+G68+H68-I68-J68</f>
        <v>3.21</v>
      </c>
      <c r="L68" s="114"/>
      <c r="Q68" s="125" t="s">
        <v>60</v>
      </c>
      <c r="R68" s="105">
        <f>+I55+I61+I69</f>
        <v>2.06</v>
      </c>
    </row>
    <row r="69" spans="5:19" ht="18.75" customHeight="1" thickBot="1">
      <c r="E69" s="113"/>
      <c r="F69" t="s">
        <v>66</v>
      </c>
      <c r="G69" s="120">
        <v>0</v>
      </c>
      <c r="H69" s="114">
        <f>0.01+20.66+5.48</f>
        <v>26.150000000000002</v>
      </c>
      <c r="I69" s="114">
        <v>1.93</v>
      </c>
      <c r="K69" s="114">
        <f>+G69+H69-I69-J69</f>
        <v>24.220000000000002</v>
      </c>
      <c r="L69" s="114"/>
      <c r="R69" s="105">
        <f>+R68+I71</f>
        <v>2.06</v>
      </c>
      <c r="S69" s="105">
        <f>+I55+I60+I61+I69+I71</f>
        <v>2.06</v>
      </c>
    </row>
    <row r="70" spans="5:19" ht="18.75" customHeight="1" thickBot="1">
      <c r="E70" s="113"/>
      <c r="G70" s="120"/>
      <c r="H70" s="114"/>
      <c r="I70" s="114"/>
      <c r="J70" s="114"/>
      <c r="K70" s="134">
        <f>SUM(K67:K69)</f>
        <v>621.28000000000009</v>
      </c>
      <c r="L70" s="114"/>
    </row>
    <row r="71" spans="5:19" ht="18.75" customHeight="1">
      <c r="E71" s="113"/>
      <c r="F71" s="129" t="s">
        <v>50</v>
      </c>
      <c r="G71" s="120">
        <v>4.05</v>
      </c>
      <c r="H71" s="114">
        <v>0.08</v>
      </c>
      <c r="I71" s="114"/>
      <c r="J71"/>
      <c r="K71" s="114">
        <f>+G71+H71-I71</f>
        <v>4.13</v>
      </c>
      <c r="R71" s="105">
        <f>+H58+H59+H67+H68+H69</f>
        <v>623.21</v>
      </c>
    </row>
    <row r="72" spans="5:19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>
        <f>+I58+I67</f>
        <v>0</v>
      </c>
    </row>
    <row r="73" spans="5:19" ht="18.75" customHeight="1" thickBot="1">
      <c r="E73" s="121" t="s">
        <v>73</v>
      </c>
      <c r="H73" s="114"/>
      <c r="I73" s="114"/>
      <c r="J73"/>
      <c r="K73" s="131">
        <f>+K47+K52+K57+K62+K70+K71+K72+K66</f>
        <v>629.17000000000007</v>
      </c>
      <c r="M73" s="105">
        <f>+K52+K71+K72</f>
        <v>4.4399999999999995</v>
      </c>
      <c r="R73" s="105">
        <f>+I59+I68</f>
        <v>4.07</v>
      </c>
    </row>
    <row r="74" spans="5:19" ht="18.75" customHeight="1">
      <c r="E74" s="121" t="s">
        <v>205</v>
      </c>
      <c r="H74" s="114"/>
      <c r="I74" s="114"/>
      <c r="J74"/>
      <c r="K74" s="135"/>
      <c r="M74" s="105"/>
      <c r="R74" s="105">
        <f>+I68+I59</f>
        <v>4.07</v>
      </c>
    </row>
    <row r="75" spans="5:19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>
        <f>+K44+K50+K55+K61+K69</f>
        <v>24.820000000000004</v>
      </c>
    </row>
    <row r="76" spans="5:19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>
        <f>+R75-1.33</f>
        <v>23.490000000000002</v>
      </c>
    </row>
    <row r="77" spans="5:19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19" ht="18.75" customHeight="1">
      <c r="E78" s="121" t="s">
        <v>206</v>
      </c>
      <c r="R78" s="105">
        <f>+I71+I69+I61+I55+I60</f>
        <v>2.06</v>
      </c>
    </row>
    <row r="79" spans="5:19" ht="15.75" customHeight="1">
      <c r="E79" s="136" t="s">
        <v>63</v>
      </c>
      <c r="J79" s="137">
        <v>0</v>
      </c>
      <c r="K79" s="114">
        <f>+K5-J79</f>
        <v>46.149999999999977</v>
      </c>
    </row>
    <row r="80" spans="5:19" ht="18" customHeight="1">
      <c r="E80" s="136" t="s">
        <v>75</v>
      </c>
      <c r="J80" s="105">
        <v>0</v>
      </c>
      <c r="K80" s="114">
        <f>+K6</f>
        <v>1946.79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133.85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2676.79</v>
      </c>
    </row>
    <row r="84" spans="5:11" ht="23.25" customHeight="1" thickBot="1">
      <c r="E84" s="121" t="s">
        <v>80</v>
      </c>
      <c r="K84" s="141">
        <f>+K73+K77+K83</f>
        <v>3317.96</v>
      </c>
    </row>
    <row r="85" spans="5:11" ht="18.75" customHeight="1" thickBot="1">
      <c r="E85" s="138" t="s">
        <v>197</v>
      </c>
      <c r="K85" s="142">
        <f>+H20</f>
        <v>2445.5400000000009</v>
      </c>
    </row>
    <row r="86" spans="5:11" ht="23.25" customHeight="1" thickBot="1">
      <c r="E86" s="121" t="s">
        <v>82</v>
      </c>
      <c r="K86" s="143">
        <f>+K85-K84</f>
        <v>-872.41999999999916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พ.ย. 2557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C000"/>
  </sheetPr>
  <dimension ref="A1:S47"/>
  <sheetViews>
    <sheetView topLeftCell="A25" zoomScaleSheetLayoutView="75" workbookViewId="0">
      <selection activeCell="I45" sqref="I45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179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180</v>
      </c>
      <c r="C3" s="149"/>
      <c r="D3" s="149"/>
      <c r="E3" s="149"/>
      <c r="F3" s="149"/>
      <c r="G3" s="149"/>
      <c r="H3" s="149"/>
      <c r="J3" s="150">
        <f>SUM(J4:J7)</f>
        <v>2426.0099999999998</v>
      </c>
      <c r="K3" s="150"/>
      <c r="L3" s="149" t="s">
        <v>90</v>
      </c>
    </row>
    <row r="4" spans="1:19">
      <c r="C4" s="146" t="s">
        <v>91</v>
      </c>
      <c r="J4" s="151">
        <v>1.1200000000000001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2409.02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11.98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3.89</v>
      </c>
      <c r="K7" s="151"/>
      <c r="L7" s="146" t="s">
        <v>90</v>
      </c>
      <c r="N7" s="147" t="s">
        <v>95</v>
      </c>
      <c r="P7" s="152">
        <f>SUM(J6:J7)</f>
        <v>15.870000000000001</v>
      </c>
      <c r="Q7" s="153"/>
      <c r="S7" s="173">
        <f>+J4+J6+J7</f>
        <v>16.990000000000002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2426.0099999999998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2344.8799999999997</v>
      </c>
      <c r="K10" s="157"/>
      <c r="L10" s="156" t="s">
        <v>90</v>
      </c>
    </row>
    <row r="11" spans="1:19">
      <c r="D11" s="146" t="s">
        <v>98</v>
      </c>
      <c r="J11" s="151">
        <f>+I30</f>
        <v>2327.89</v>
      </c>
      <c r="K11" s="151"/>
      <c r="L11" s="146" t="s">
        <v>90</v>
      </c>
    </row>
    <row r="12" spans="1:19">
      <c r="D12" s="146" t="s">
        <v>99</v>
      </c>
      <c r="J12" s="151">
        <f>+I41</f>
        <v>16.989999999999998</v>
      </c>
      <c r="K12" s="151"/>
      <c r="L12" s="146" t="s">
        <v>90</v>
      </c>
      <c r="N12" s="147">
        <f>79.47+71.91+5.93-2.01</f>
        <v>155.30000000000001</v>
      </c>
      <c r="S12" s="173">
        <f>+J12+J15</f>
        <v>16.989999999999998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81.130000000000109</v>
      </c>
      <c r="K13" s="157"/>
      <c r="L13" s="156" t="s">
        <v>90</v>
      </c>
      <c r="N13" s="159">
        <f>+J14+J11</f>
        <v>2409.02</v>
      </c>
    </row>
    <row r="14" spans="1:19">
      <c r="D14" s="146" t="s">
        <v>98</v>
      </c>
      <c r="J14" s="151">
        <f>+J5-I30</f>
        <v>81.130000000000109</v>
      </c>
      <c r="K14" s="151"/>
      <c r="L14" s="146" t="s">
        <v>90</v>
      </c>
      <c r="N14" s="147">
        <f>+J15+J12</f>
        <v>16.989999999999998</v>
      </c>
    </row>
    <row r="15" spans="1:19">
      <c r="D15" s="146" t="s">
        <v>99</v>
      </c>
      <c r="J15" s="151">
        <f>+J4+J6+J7-J12</f>
        <v>0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181</v>
      </c>
      <c r="J18" s="157">
        <f>+J3</f>
        <v>2426.0099999999998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115.58-11.97-0-4.07+0.01</f>
        <v>99.55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104.86999999999999</v>
      </c>
      <c r="I27" s="157"/>
    </row>
    <row r="28" spans="2:12">
      <c r="D28" s="156" t="s">
        <v>112</v>
      </c>
      <c r="G28" s="164">
        <v>2222.46</v>
      </c>
      <c r="H28" s="147"/>
      <c r="I28" s="157"/>
    </row>
    <row r="29" spans="2:12">
      <c r="D29" s="146" t="s">
        <v>192</v>
      </c>
      <c r="G29" s="164">
        <v>0.06</v>
      </c>
      <c r="H29" s="147"/>
      <c r="I29" s="157"/>
    </row>
    <row r="30" spans="2:12">
      <c r="D30" s="146" t="s">
        <v>189</v>
      </c>
      <c r="G30" s="163">
        <f>0.9-0.4</f>
        <v>0.5</v>
      </c>
      <c r="H30" s="165">
        <f>SUM(G28:G30)</f>
        <v>2223.02</v>
      </c>
      <c r="I30" s="157">
        <f>+H27+H30</f>
        <v>2327.89</v>
      </c>
    </row>
    <row r="31" spans="2:12" ht="21.75" customHeight="1">
      <c r="D31" s="156" t="s">
        <v>114</v>
      </c>
      <c r="G31" s="162"/>
      <c r="H31" s="166"/>
      <c r="I31" s="157"/>
    </row>
    <row r="32" spans="2:12" ht="21.75" customHeight="1">
      <c r="D32" s="156" t="s">
        <v>105</v>
      </c>
      <c r="G32" s="162"/>
      <c r="H32" s="166"/>
      <c r="I32" s="157"/>
    </row>
    <row r="33" spans="3:14">
      <c r="D33" s="146" t="s">
        <v>106</v>
      </c>
      <c r="G33" s="162">
        <f>0.69+11.97-11.97-0.69+4.07</f>
        <v>4.07</v>
      </c>
      <c r="H33" s="147"/>
      <c r="I33" s="157"/>
    </row>
    <row r="34" spans="3:14">
      <c r="D34" s="146" t="s">
        <v>115</v>
      </c>
      <c r="G34" s="162">
        <v>0</v>
      </c>
      <c r="H34" s="147"/>
      <c r="I34" s="157"/>
    </row>
    <row r="35" spans="3:14">
      <c r="D35" s="146" t="s">
        <v>116</v>
      </c>
      <c r="G35" s="162">
        <v>0.6</v>
      </c>
      <c r="H35" s="147"/>
      <c r="I35" s="157"/>
    </row>
    <row r="36" spans="3:14">
      <c r="D36" s="146" t="s">
        <v>110</v>
      </c>
      <c r="G36" s="163">
        <f>2.63-0.05-0.23</f>
        <v>2.35</v>
      </c>
      <c r="H36" s="167">
        <f>SUM(G33:G36)</f>
        <v>7.02</v>
      </c>
      <c r="I36" s="168"/>
      <c r="L36" s="156"/>
      <c r="N36" s="147">
        <f>1.36+0.11</f>
        <v>1.4700000000000002</v>
      </c>
    </row>
    <row r="37" spans="3:14">
      <c r="D37" s="156" t="s">
        <v>112</v>
      </c>
      <c r="G37" s="169"/>
      <c r="H37" s="167"/>
      <c r="I37" s="168"/>
      <c r="L37" s="156"/>
    </row>
    <row r="38" spans="3:14">
      <c r="D38" s="146" t="s">
        <v>106</v>
      </c>
      <c r="G38" s="164">
        <f>46.47-42.5</f>
        <v>3.9699999999999989</v>
      </c>
      <c r="H38" s="167"/>
      <c r="I38" s="168"/>
      <c r="L38" s="156"/>
    </row>
    <row r="39" spans="3:14">
      <c r="D39" s="146" t="s">
        <v>115</v>
      </c>
      <c r="G39" s="164">
        <f>13.88+4-13.64-3.21-0.01</f>
        <v>1.020000000000002</v>
      </c>
      <c r="H39" s="167"/>
      <c r="I39" s="168"/>
      <c r="L39" s="156"/>
    </row>
    <row r="40" spans="3:14">
      <c r="D40" s="146" t="s">
        <v>116</v>
      </c>
      <c r="G40" s="164">
        <f>8.32+0.17-2.45-3.35+0.01+0.74</f>
        <v>3.4399999999999995</v>
      </c>
      <c r="H40" s="167"/>
      <c r="I40" s="168"/>
      <c r="L40" s="156"/>
    </row>
    <row r="41" spans="3:14">
      <c r="D41" s="146" t="s">
        <v>110</v>
      </c>
      <c r="G41" s="163">
        <f>1.53+0.01</f>
        <v>1.54</v>
      </c>
      <c r="H41" s="165">
        <f>SUM(G38:G41)</f>
        <v>9.9699999999999989</v>
      </c>
      <c r="I41" s="168">
        <f>+H36+H41</f>
        <v>16.989999999999998</v>
      </c>
      <c r="J41" s="170">
        <f>+I30+I41</f>
        <v>2344.8799999999997</v>
      </c>
      <c r="L41" s="156"/>
    </row>
    <row r="42" spans="3:14" ht="21.75" thickBot="1">
      <c r="C42" s="156" t="s">
        <v>182</v>
      </c>
      <c r="I42" s="171"/>
      <c r="J42" s="172">
        <f>+J18-J41</f>
        <v>81.130000000000109</v>
      </c>
      <c r="K42" s="168"/>
      <c r="L42" s="156" t="s">
        <v>90</v>
      </c>
    </row>
    <row r="43" spans="3:14" ht="21.75" thickTop="1"/>
    <row r="44" spans="3:14">
      <c r="C44" s="156"/>
      <c r="H44" s="173"/>
    </row>
    <row r="46" spans="3:14" hidden="1">
      <c r="G46" s="152">
        <f>+G36+G41</f>
        <v>3.89</v>
      </c>
    </row>
    <row r="47" spans="3:14" hidden="1">
      <c r="G47" s="152">
        <f>+J7-G46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3 พ.ย. 2557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U46"/>
  <sheetViews>
    <sheetView topLeftCell="A26" zoomScaleSheetLayoutView="75" workbookViewId="0">
      <selection activeCell="J8" sqref="J8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343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344</v>
      </c>
      <c r="C3" s="149"/>
      <c r="D3" s="149"/>
      <c r="E3" s="149"/>
      <c r="F3" s="149"/>
      <c r="G3" s="149"/>
      <c r="H3" s="149"/>
      <c r="J3" s="150">
        <f>SUM(J4:J7)</f>
        <v>2661.5299999999997</v>
      </c>
      <c r="K3" s="150"/>
      <c r="L3" s="149" t="s">
        <v>90</v>
      </c>
    </row>
    <row r="4" spans="1:21">
      <c r="C4" s="146" t="s">
        <v>91</v>
      </c>
      <c r="J4" s="151">
        <v>0.08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2584.16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2584.2399999999998</v>
      </c>
    </row>
    <row r="6" spans="1:21">
      <c r="C6" s="146" t="s">
        <v>93</v>
      </c>
      <c r="J6" s="151">
        <v>71.77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5.52</v>
      </c>
      <c r="K7" s="151"/>
      <c r="L7" s="146" t="s">
        <v>90</v>
      </c>
      <c r="N7" s="147" t="s">
        <v>95</v>
      </c>
      <c r="P7" s="152">
        <f>SUM(J6:J7)</f>
        <v>77.289999999999992</v>
      </c>
      <c r="Q7" s="153"/>
      <c r="S7" s="173">
        <f>+J4+J6+J7</f>
        <v>77.36999999999999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2661.5299999999997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2588.02</v>
      </c>
      <c r="K10" s="157"/>
      <c r="L10" s="156" t="s">
        <v>90</v>
      </c>
      <c r="T10" s="153">
        <f>+J11-T5</f>
        <v>-73.579999999999927</v>
      </c>
    </row>
    <row r="11" spans="1:21">
      <c r="D11" s="146" t="s">
        <v>98</v>
      </c>
      <c r="J11" s="151">
        <f>+I29</f>
        <v>2510.66</v>
      </c>
      <c r="K11" s="151"/>
      <c r="L11" s="146" t="s">
        <v>90</v>
      </c>
    </row>
    <row r="12" spans="1:21">
      <c r="D12" s="146" t="s">
        <v>99</v>
      </c>
      <c r="J12" s="151">
        <f>+I40</f>
        <v>77.36</v>
      </c>
      <c r="K12" s="151"/>
      <c r="L12" s="146" t="s">
        <v>90</v>
      </c>
      <c r="N12" s="147">
        <f>79.47+71.91+5.93-2.01</f>
        <v>155.30000000000001</v>
      </c>
      <c r="S12" s="173">
        <f>+J12+J15</f>
        <v>77.36999999999999</v>
      </c>
      <c r="T12" s="153">
        <f>+J6+J7</f>
        <v>77.289999999999992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73.509999999999991</v>
      </c>
      <c r="K13" s="157"/>
      <c r="L13" s="156" t="s">
        <v>90</v>
      </c>
      <c r="N13" s="159">
        <f>+J14+J11</f>
        <v>2584.16</v>
      </c>
    </row>
    <row r="14" spans="1:21">
      <c r="D14" s="146" t="s">
        <v>98</v>
      </c>
      <c r="J14" s="151">
        <f>+J5-I29</f>
        <v>73.5</v>
      </c>
      <c r="K14" s="151"/>
      <c r="L14" s="146" t="s">
        <v>90</v>
      </c>
      <c r="N14" s="147">
        <f>+J15+J12</f>
        <v>77.36999999999999</v>
      </c>
    </row>
    <row r="15" spans="1:21">
      <c r="D15" s="146" t="s">
        <v>99</v>
      </c>
      <c r="J15" s="211">
        <f>+J4+J6+J7-J12</f>
        <v>9.9999999999909051E-3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345</v>
      </c>
      <c r="J18" s="157">
        <f>+J3</f>
        <v>2661.5299999999997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112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12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0.18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12.49</v>
      </c>
      <c r="I26" s="157"/>
    </row>
    <row r="27" spans="2:21">
      <c r="D27" s="156" t="s">
        <v>211</v>
      </c>
      <c r="G27" s="164">
        <f>2591.2-5.66-94.24-0.07</f>
        <v>2491.23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7.39-0.45</f>
        <v>6.9399999999999995</v>
      </c>
      <c r="H29" s="165">
        <f>SUM(G27:G29)</f>
        <v>2498.17</v>
      </c>
      <c r="I29" s="157">
        <f>+H26+H29</f>
        <v>2510.66</v>
      </c>
      <c r="U29" s="152">
        <f>+G29-9.09</f>
        <v>-2.1500000000000004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112</v>
      </c>
      <c r="G31" s="162"/>
      <c r="H31" s="166"/>
      <c r="I31" s="157"/>
    </row>
    <row r="32" spans="2:21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v>1.97</v>
      </c>
      <c r="H34" s="147"/>
      <c r="I34" s="157"/>
    </row>
    <row r="35" spans="3:14">
      <c r="D35" s="146" t="s">
        <v>110</v>
      </c>
      <c r="G35" s="163">
        <v>3.43</v>
      </c>
      <c r="H35" s="167">
        <f>SUM(G32:G35)</f>
        <v>5.4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14.21+94.24-52.71-1.39</f>
        <v>54.349999999999987</v>
      </c>
      <c r="H37" s="167"/>
      <c r="I37" s="168"/>
      <c r="L37" s="156"/>
    </row>
    <row r="38" spans="3:14">
      <c r="D38" s="146" t="s">
        <v>115</v>
      </c>
      <c r="G38" s="164">
        <f>59.56+5.66-46.96-3.5</f>
        <v>14.759999999999998</v>
      </c>
      <c r="H38" s="167"/>
      <c r="I38" s="168"/>
      <c r="L38" s="156"/>
    </row>
    <row r="39" spans="3:14">
      <c r="D39" s="146" t="s">
        <v>116</v>
      </c>
      <c r="G39" s="164">
        <v>0.76</v>
      </c>
      <c r="H39" s="167"/>
      <c r="I39" s="168"/>
      <c r="L39" s="156"/>
    </row>
    <row r="40" spans="3:14">
      <c r="D40" s="146" t="s">
        <v>110</v>
      </c>
      <c r="G40" s="163">
        <f>1.76+0.33</f>
        <v>2.09</v>
      </c>
      <c r="H40" s="165">
        <f>SUM(G37:G40)</f>
        <v>71.959999999999994</v>
      </c>
      <c r="I40" s="168">
        <f>SUM(H32:H40)</f>
        <v>77.36</v>
      </c>
      <c r="J40" s="170">
        <f>+I29+I40</f>
        <v>2588.02</v>
      </c>
      <c r="L40" s="156"/>
    </row>
    <row r="41" spans="3:14" ht="21.75" thickBot="1">
      <c r="C41" s="156" t="s">
        <v>346</v>
      </c>
      <c r="I41" s="171"/>
      <c r="J41" s="172">
        <f>+J18-J40</f>
        <v>73.509999999999764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5.52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9 พ.ย. 2558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C000"/>
  </sheetPr>
  <dimension ref="A1:S110"/>
  <sheetViews>
    <sheetView view="pageBreakPreview" zoomScale="90" zoomScaleNormal="90" zoomScaleSheetLayoutView="100" workbookViewId="0">
      <pane xSplit="1" ySplit="3" topLeftCell="E4" activePane="bottomRight" state="frozenSplit"/>
      <selection pane="topRight" activeCell="B1" sqref="B1"/>
      <selection pane="bottomLeft" activeCell="B4" sqref="B4"/>
      <selection pane="bottomRight" activeCell="I39" sqref="I39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185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184</v>
      </c>
      <c r="E3" s="1" t="s">
        <v>5</v>
      </c>
      <c r="F3" s="2" t="s">
        <v>9</v>
      </c>
      <c r="G3" s="3" t="s">
        <v>7</v>
      </c>
      <c r="H3" s="5" t="s">
        <v>183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SUM(F5:F9)</f>
        <v>11066.62</v>
      </c>
      <c r="G4" s="15">
        <f>SUM(G5:G8)</f>
        <v>825.03</v>
      </c>
      <c r="H4" s="16">
        <f>SUM(H5:H9)</f>
        <v>11891.65</v>
      </c>
      <c r="I4" s="17">
        <f>SUM(I5:I9)</f>
        <v>2900</v>
      </c>
      <c r="J4" s="18">
        <f>SUM(J5:J9)</f>
        <v>788.7399999999999</v>
      </c>
      <c r="K4" s="19">
        <f>SUM(K5:K9)</f>
        <v>2111.2600000000002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v>623.07000000000005</v>
      </c>
      <c r="H5" s="27">
        <f>+F5+G5</f>
        <v>8444.9</v>
      </c>
      <c r="I5" s="28">
        <v>650</v>
      </c>
      <c r="J5" s="29">
        <f>622.13+11.27+4</f>
        <v>637.4</v>
      </c>
      <c r="K5" s="30">
        <f>+I5-J5</f>
        <v>12.600000000000023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201.91</f>
        <v>201.91</v>
      </c>
      <c r="H6" s="27">
        <f>+F6+G6</f>
        <v>3162.1</v>
      </c>
      <c r="I6" s="33">
        <v>2000</v>
      </c>
      <c r="J6" s="34">
        <f>88.49+16.32+46.47+0.01</f>
        <v>151.29</v>
      </c>
      <c r="K6" s="35">
        <f>+I6-J6-J7</f>
        <v>1848.66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212</v>
      </c>
      <c r="F7" s="40"/>
      <c r="G7" s="180">
        <v>0.05</v>
      </c>
      <c r="H7" s="27">
        <f>+F7+G7</f>
        <v>0.05</v>
      </c>
      <c r="I7" s="33"/>
      <c r="J7" s="34">
        <v>0.05</v>
      </c>
      <c r="K7" s="35"/>
    </row>
    <row r="8" spans="1:15" s="20" customFormat="1" ht="23.25">
      <c r="A8" s="33"/>
      <c r="B8" s="22"/>
      <c r="C8" s="23"/>
      <c r="D8" s="24"/>
      <c r="E8" s="21" t="s">
        <v>21</v>
      </c>
      <c r="F8" s="40">
        <v>277.60000000000002</v>
      </c>
      <c r="G8" s="41">
        <v>0</v>
      </c>
      <c r="H8" s="27">
        <f>+F8+G8</f>
        <v>277.60000000000002</v>
      </c>
      <c r="I8" s="42">
        <v>0</v>
      </c>
      <c r="J8" s="43">
        <v>0</v>
      </c>
      <c r="K8" s="44">
        <f>+I8-J8</f>
        <v>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21" t="s">
        <v>22</v>
      </c>
      <c r="F9" s="45">
        <v>7</v>
      </c>
      <c r="G9" s="46"/>
      <c r="H9" s="27">
        <f>+F9+G9</f>
        <v>7</v>
      </c>
      <c r="I9" s="47">
        <v>250</v>
      </c>
      <c r="J9" s="48"/>
      <c r="K9" s="35">
        <f>+I9-J9</f>
        <v>250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987.40999999999985</v>
      </c>
      <c r="D10" s="24">
        <f>SUM(O11:O17)</f>
        <v>10023.200000000001</v>
      </c>
      <c r="E10" s="49" t="s">
        <v>24</v>
      </c>
      <c r="F10" s="14">
        <f>SUM(F11:F18)</f>
        <v>2744.58</v>
      </c>
      <c r="G10" s="15">
        <f>SUM(G11:G18)</f>
        <v>34.19</v>
      </c>
      <c r="H10" s="16">
        <f>SUM(H11:H19)</f>
        <v>2778.7700000000004</v>
      </c>
      <c r="I10" s="17">
        <f>SUM(I16:I17)</f>
        <v>150</v>
      </c>
      <c r="J10" s="50">
        <f>SUM(J16:J17)</f>
        <v>38.800000000000004</v>
      </c>
      <c r="K10" s="51">
        <f>SUM(K16:K17)</f>
        <v>111.19999999999999</v>
      </c>
      <c r="L10" s="57"/>
    </row>
    <row r="11" spans="1:15" s="20" customFormat="1" ht="23.25">
      <c r="A11" s="21" t="s">
        <v>27</v>
      </c>
      <c r="B11" s="31">
        <v>676.56</v>
      </c>
      <c r="C11" s="32">
        <v>28.75</v>
      </c>
      <c r="D11" s="58">
        <f>+B11+C11</f>
        <v>705.31</v>
      </c>
      <c r="E11" s="21" t="s">
        <v>26</v>
      </c>
      <c r="F11" s="25">
        <v>100</v>
      </c>
      <c r="G11" s="54">
        <v>0</v>
      </c>
      <c r="H11" s="27">
        <f t="shared" ref="H11:H16" si="0">+F11+G11</f>
        <v>100</v>
      </c>
      <c r="I11" s="28"/>
      <c r="J11" s="55">
        <v>0</v>
      </c>
      <c r="K11" s="56">
        <f>+I11-J11</f>
        <v>0</v>
      </c>
      <c r="L11" s="57"/>
      <c r="O11" s="59">
        <f t="shared" ref="O11:O17" si="1">+B11+C11</f>
        <v>705.31</v>
      </c>
    </row>
    <row r="12" spans="1:15" s="20" customFormat="1" ht="23.25">
      <c r="A12" s="21" t="s">
        <v>29</v>
      </c>
      <c r="B12" s="31">
        <v>679.13</v>
      </c>
      <c r="C12" s="32">
        <v>51.78</v>
      </c>
      <c r="D12" s="58">
        <f t="shared" ref="D12:D17" si="2">+B12+C12</f>
        <v>730.91</v>
      </c>
      <c r="E12" s="21" t="s">
        <v>28</v>
      </c>
      <c r="F12" s="31">
        <v>276.14999999999998</v>
      </c>
      <c r="G12" s="54">
        <v>0</v>
      </c>
      <c r="H12" s="27">
        <f t="shared" si="0"/>
        <v>276.14999999999998</v>
      </c>
      <c r="I12" s="33"/>
      <c r="J12" s="43">
        <v>0</v>
      </c>
      <c r="K12" s="44">
        <f>+I12-J12</f>
        <v>0</v>
      </c>
      <c r="L12" s="57"/>
      <c r="O12" s="59">
        <f t="shared" si="1"/>
        <v>730.91</v>
      </c>
    </row>
    <row r="13" spans="1:15" s="20" customFormat="1" ht="23.25">
      <c r="A13" s="21" t="s">
        <v>31</v>
      </c>
      <c r="B13" s="31">
        <v>256.90000000000003</v>
      </c>
      <c r="C13" s="32">
        <v>12.4</v>
      </c>
      <c r="D13" s="58">
        <f t="shared" si="2"/>
        <v>269.3</v>
      </c>
      <c r="E13" s="21" t="s">
        <v>30</v>
      </c>
      <c r="F13" s="31">
        <v>83.69</v>
      </c>
      <c r="G13" s="32">
        <v>2.75</v>
      </c>
      <c r="H13" s="27">
        <f t="shared" si="0"/>
        <v>86.44</v>
      </c>
      <c r="I13" s="33"/>
      <c r="J13" s="43">
        <v>0</v>
      </c>
      <c r="K13" s="44">
        <f>+I13-J13</f>
        <v>0</v>
      </c>
      <c r="L13" s="57"/>
      <c r="O13" s="59">
        <f t="shared" si="1"/>
        <v>269.3</v>
      </c>
    </row>
    <row r="14" spans="1:15" s="20" customFormat="1" ht="23.25">
      <c r="A14" s="21" t="s">
        <v>33</v>
      </c>
      <c r="B14" s="31">
        <v>6054.08</v>
      </c>
      <c r="C14" s="32">
        <v>743.92</v>
      </c>
      <c r="D14" s="58">
        <f t="shared" si="2"/>
        <v>6798</v>
      </c>
      <c r="E14" s="21" t="s">
        <v>32</v>
      </c>
      <c r="F14" s="31">
        <v>88.45</v>
      </c>
      <c r="G14" s="23"/>
      <c r="H14" s="27">
        <f t="shared" si="0"/>
        <v>88.45</v>
      </c>
      <c r="I14" s="33"/>
      <c r="J14" s="43">
        <v>0</v>
      </c>
      <c r="K14" s="44">
        <f>+I14-J14</f>
        <v>0</v>
      </c>
      <c r="L14" s="57"/>
      <c r="O14" s="59">
        <f t="shared" si="1"/>
        <v>6798</v>
      </c>
    </row>
    <row r="15" spans="1:15" s="20" customFormat="1" ht="23.25">
      <c r="A15" s="21" t="s">
        <v>35</v>
      </c>
      <c r="B15" s="60">
        <v>84.41</v>
      </c>
      <c r="C15" s="32">
        <v>2.68</v>
      </c>
      <c r="D15" s="58">
        <f t="shared" si="2"/>
        <v>87.09</v>
      </c>
      <c r="E15" s="21" t="s">
        <v>34</v>
      </c>
      <c r="F15" s="31">
        <v>66.36</v>
      </c>
      <c r="G15" s="23">
        <v>0</v>
      </c>
      <c r="H15" s="27">
        <f t="shared" si="0"/>
        <v>66.36</v>
      </c>
      <c r="I15" s="33"/>
      <c r="J15" s="43">
        <v>0</v>
      </c>
      <c r="K15" s="44">
        <f>+I15-J15</f>
        <v>0</v>
      </c>
      <c r="L15" s="57"/>
      <c r="O15" s="59">
        <f t="shared" si="1"/>
        <v>87.09</v>
      </c>
    </row>
    <row r="16" spans="1:15" s="20" customFormat="1" ht="23.25">
      <c r="A16" s="21" t="s">
        <v>37</v>
      </c>
      <c r="B16" s="62">
        <v>440.08</v>
      </c>
      <c r="C16" s="32">
        <v>50.1</v>
      </c>
      <c r="D16" s="58">
        <f t="shared" si="2"/>
        <v>490.18</v>
      </c>
      <c r="E16" s="21" t="s">
        <v>36</v>
      </c>
      <c r="F16" s="31">
        <v>1011.25</v>
      </c>
      <c r="G16" s="32">
        <f>21.31+2.46+3.71+4.01-0.05</f>
        <v>31.44</v>
      </c>
      <c r="H16" s="27">
        <f t="shared" si="0"/>
        <v>1042.69</v>
      </c>
      <c r="I16" s="33">
        <v>150</v>
      </c>
      <c r="J16" s="61">
        <f>37.47+0.72+0.39+0.17+0.09+0.01-0.05</f>
        <v>38.800000000000004</v>
      </c>
      <c r="K16" s="35">
        <f>+I16-J16-J17</f>
        <v>111.19999999999999</v>
      </c>
      <c r="O16" s="59">
        <f t="shared" si="1"/>
        <v>490.18</v>
      </c>
    </row>
    <row r="17" spans="1:18" s="20" customFormat="1" ht="23.25">
      <c r="A17" s="21" t="s">
        <v>39</v>
      </c>
      <c r="B17" s="65">
        <v>844.63</v>
      </c>
      <c r="C17" s="32">
        <v>97.78</v>
      </c>
      <c r="D17" s="58">
        <f t="shared" si="2"/>
        <v>942.41</v>
      </c>
      <c r="E17" s="33" t="s">
        <v>38</v>
      </c>
      <c r="F17" s="31"/>
      <c r="G17" s="26"/>
      <c r="H17" s="27"/>
      <c r="I17" s="63"/>
      <c r="J17" s="64"/>
      <c r="K17" s="35"/>
      <c r="O17" s="59">
        <f t="shared" si="1"/>
        <v>942.41</v>
      </c>
      <c r="P17" s="69"/>
      <c r="Q17" s="69"/>
      <c r="R17" s="69"/>
    </row>
    <row r="18" spans="1:18" s="20" customFormat="1" ht="23.25">
      <c r="A18" s="181"/>
      <c r="B18" s="65"/>
      <c r="C18" s="32"/>
      <c r="D18" s="58"/>
      <c r="E18" s="36" t="s">
        <v>40</v>
      </c>
      <c r="F18" s="36">
        <v>1118.68</v>
      </c>
      <c r="G18" s="66">
        <v>0</v>
      </c>
      <c r="H18" s="36">
        <f>+F18+G18</f>
        <v>1118.68</v>
      </c>
      <c r="I18" s="36"/>
      <c r="J18" s="67">
        <v>0</v>
      </c>
      <c r="K18" s="68">
        <f>+I18-J18</f>
        <v>0</v>
      </c>
      <c r="O18" s="80"/>
    </row>
    <row r="19" spans="1:18" s="20" customFormat="1" ht="23.25">
      <c r="A19" s="63"/>
      <c r="B19" s="70"/>
      <c r="C19" s="71"/>
      <c r="D19" s="72"/>
      <c r="E19" s="73"/>
      <c r="F19" s="74"/>
      <c r="G19" s="75"/>
      <c r="H19" s="76"/>
      <c r="I19" s="77"/>
      <c r="J19" s="78"/>
      <c r="K19" s="79"/>
      <c r="M19" s="20">
        <f>F21+G21</f>
        <v>2426.0099999999993</v>
      </c>
      <c r="O19" s="85"/>
    </row>
    <row r="20" spans="1:18" s="20" customFormat="1" ht="26.25">
      <c r="A20" s="81"/>
      <c r="B20" s="22"/>
      <c r="C20" s="71"/>
      <c r="D20" s="72"/>
      <c r="E20" s="16" t="s">
        <v>41</v>
      </c>
      <c r="F20" s="16">
        <f>F4+F10</f>
        <v>13811.2</v>
      </c>
      <c r="G20" s="82">
        <f>+G4+G10</f>
        <v>859.22</v>
      </c>
      <c r="H20" s="83">
        <f>+H4+H10</f>
        <v>14670.42</v>
      </c>
      <c r="I20" s="19">
        <f>+I4+I10</f>
        <v>3050</v>
      </c>
      <c r="J20" s="84">
        <f>+J4+J10</f>
        <v>827.53999999999985</v>
      </c>
      <c r="K20" s="51">
        <f>+K4+K10</f>
        <v>2222.46</v>
      </c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86"/>
      <c r="B21" s="74"/>
      <c r="C21" s="71"/>
      <c r="D21" s="80"/>
      <c r="E21" s="87" t="s">
        <v>193</v>
      </c>
      <c r="F21" s="88">
        <f>B23-F20</f>
        <v>2297.8199999999997</v>
      </c>
      <c r="G21" s="89">
        <f>C23-G20</f>
        <v>128.18999999999983</v>
      </c>
      <c r="H21" s="90">
        <f>+D23-H20</f>
        <v>2426.0100000000002</v>
      </c>
      <c r="I21" s="225" t="s">
        <v>195</v>
      </c>
      <c r="J21" s="226"/>
      <c r="K21" s="227"/>
      <c r="L21" s="20">
        <f>1433.2+618.44</f>
        <v>2051.6400000000003</v>
      </c>
      <c r="M21" s="20">
        <f>627.4+6.61-17.2</f>
        <v>616.80999999999995</v>
      </c>
      <c r="N21" s="20">
        <f>+H20-H23</f>
        <v>-2426.0100000000002</v>
      </c>
    </row>
    <row r="22" spans="1:18" s="20" customFormat="1" ht="23.25">
      <c r="A22" s="188"/>
      <c r="B22" s="45"/>
      <c r="C22" s="189"/>
      <c r="D22" s="190"/>
      <c r="E22" s="191" t="s">
        <v>194</v>
      </c>
      <c r="F22" s="192"/>
      <c r="G22" s="193"/>
      <c r="H22" s="194"/>
      <c r="I22" s="228" t="s">
        <v>191</v>
      </c>
      <c r="J22" s="229"/>
      <c r="K22" s="230"/>
      <c r="M22" s="20">
        <f>1715.47+86.81</f>
        <v>1802.28</v>
      </c>
    </row>
    <row r="23" spans="1:18" ht="5.25" hidden="1" customHeight="1">
      <c r="A23" s="182" t="s">
        <v>45</v>
      </c>
      <c r="B23" s="183">
        <f>SUM(B4:B10)</f>
        <v>16109.02</v>
      </c>
      <c r="C23" s="184">
        <f>SUM(C4:C10)</f>
        <v>987.40999999999985</v>
      </c>
      <c r="D23" s="184">
        <f>SUM(D4:D10)</f>
        <v>17096.43</v>
      </c>
      <c r="E23" s="185" t="s">
        <v>46</v>
      </c>
      <c r="F23" s="186">
        <f>SUM(F20:F21)</f>
        <v>16109.02</v>
      </c>
      <c r="G23" s="187">
        <f>SUM(G20:G21)</f>
        <v>987.40999999999985</v>
      </c>
      <c r="H23" s="186">
        <f>+H20+H21</f>
        <v>17096.43</v>
      </c>
      <c r="I23" s="231"/>
      <c r="J23" s="232"/>
      <c r="K23" s="232"/>
    </row>
    <row r="24" spans="1:18" ht="23.25" hidden="1" customHeight="1">
      <c r="L24" s="108"/>
    </row>
    <row r="25" spans="1:18" ht="23.25" hidden="1" customHeight="1">
      <c r="I25" s="106"/>
      <c r="J25" s="219" t="s">
        <v>47</v>
      </c>
      <c r="K25" s="219"/>
      <c r="L25" s="108"/>
    </row>
    <row r="26" spans="1:18" ht="21" hidden="1">
      <c r="I26" s="106"/>
      <c r="J26" s="179"/>
      <c r="K26" s="179"/>
      <c r="M26">
        <f>1410.94+620.48</f>
        <v>2031.42</v>
      </c>
    </row>
    <row r="27" spans="1:18" ht="29.25" hidden="1">
      <c r="D27" s="105"/>
      <c r="E27" s="109" t="s">
        <v>48</v>
      </c>
      <c r="G27" s="110">
        <f>649.23+6.61</f>
        <v>655.84</v>
      </c>
      <c r="H27" s="109">
        <f>10866.54-10208.33</f>
        <v>658.21000000000095</v>
      </c>
      <c r="I27" s="106">
        <f>+H23-H20</f>
        <v>2426.0100000000002</v>
      </c>
      <c r="J27" s="111">
        <f>+F40</f>
        <v>18.039999999999893</v>
      </c>
      <c r="K27" s="112">
        <f>+I27-J27</f>
        <v>2407.9700000000003</v>
      </c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D29" s="105"/>
      <c r="E29" s="109"/>
      <c r="G29" s="110"/>
      <c r="H29" s="109"/>
      <c r="I29" s="106"/>
      <c r="J29" s="111"/>
      <c r="K29" s="112"/>
    </row>
    <row r="30" spans="1:18" ht="21" hidden="1" customHeight="1">
      <c r="A30" s="113" t="s">
        <v>49</v>
      </c>
      <c r="H30" s="114"/>
      <c r="L30">
        <f>19.25-15.42</f>
        <v>3.83</v>
      </c>
      <c r="N30">
        <f>1695.21+103.46</f>
        <v>1798.67</v>
      </c>
    </row>
    <row r="31" spans="1:18" ht="21" hidden="1" customHeight="1">
      <c r="K31" s="114"/>
    </row>
    <row r="32" spans="1:18" ht="21.75" hidden="1" customHeight="1">
      <c r="F32" t="s">
        <v>213</v>
      </c>
      <c r="G32" s="115"/>
      <c r="K32" s="114"/>
    </row>
    <row r="33" spans="1:16" ht="21.75" customHeight="1">
      <c r="C33" s="116"/>
      <c r="E33" s="117" t="s">
        <v>50</v>
      </c>
      <c r="F33" s="118">
        <f>+K67</f>
        <v>4.05</v>
      </c>
      <c r="H33" s="109"/>
      <c r="L33" s="105">
        <f>1403.63+434.78</f>
        <v>1838.41</v>
      </c>
    </row>
    <row r="34" spans="1:16" ht="21.75" customHeight="1">
      <c r="A34" s="119"/>
      <c r="C34" s="120"/>
      <c r="E34" s="117" t="s">
        <v>51</v>
      </c>
      <c r="F34" s="118">
        <v>0.31</v>
      </c>
      <c r="H34" s="109"/>
      <c r="L34" s="105"/>
    </row>
    <row r="35" spans="1:16" ht="23.25">
      <c r="A35" s="119"/>
      <c r="C35" s="120"/>
      <c r="E35" s="121" t="s">
        <v>52</v>
      </c>
      <c r="F35" s="118">
        <f>+K47</f>
        <v>0.04</v>
      </c>
      <c r="H35" s="109"/>
    </row>
    <row r="36" spans="1:16" ht="23.25">
      <c r="A36" s="119"/>
      <c r="C36" s="120"/>
      <c r="E36" s="121" t="s">
        <v>53</v>
      </c>
      <c r="F36" s="114">
        <f>+K52</f>
        <v>0</v>
      </c>
      <c r="G36" s="110"/>
      <c r="H36" s="122"/>
    </row>
    <row r="37" spans="1:16" ht="23.25">
      <c r="A37" s="119"/>
      <c r="C37" s="120"/>
      <c r="E37" s="121" t="s">
        <v>54</v>
      </c>
      <c r="F37" s="114">
        <f>+K57</f>
        <v>0</v>
      </c>
      <c r="G37" s="110"/>
      <c r="H37" s="122"/>
    </row>
    <row r="38" spans="1:16" ht="23.25">
      <c r="A38" s="119"/>
      <c r="C38" s="120"/>
      <c r="E38" s="121" t="s">
        <v>55</v>
      </c>
      <c r="F38" s="114">
        <f>+K62</f>
        <v>4.650000000000003</v>
      </c>
      <c r="G38" s="110"/>
      <c r="H38" s="122"/>
    </row>
    <row r="39" spans="1:16" ht="21.75" customHeight="1">
      <c r="A39" s="119"/>
      <c r="C39" s="120"/>
      <c r="E39" s="121" t="s">
        <v>56</v>
      </c>
      <c r="F39" s="114">
        <f>+K66</f>
        <v>8.9899999999998919</v>
      </c>
      <c r="G39" s="110"/>
      <c r="H39" s="122"/>
    </row>
    <row r="40" spans="1:16" ht="24" thickBot="1">
      <c r="A40" s="119"/>
      <c r="C40" s="120"/>
      <c r="E40" s="121" t="s">
        <v>57</v>
      </c>
      <c r="F40" s="123">
        <f>SUM(F33:F39)</f>
        <v>18.039999999999893</v>
      </c>
      <c r="G40" s="115"/>
      <c r="H40" s="109"/>
    </row>
    <row r="41" spans="1:16" ht="17.25" customHeight="1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idden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  <c r="L42" t="s">
        <v>65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s="127" t="s">
        <v>67</v>
      </c>
      <c r="P43" t="s">
        <v>68</v>
      </c>
    </row>
    <row r="44" spans="1:16" ht="23.25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</v>
      </c>
      <c r="K44" s="114">
        <f>+G44+H44-I44-J44</f>
        <v>0.04</v>
      </c>
      <c r="L44" s="114"/>
    </row>
    <row r="45" spans="1:16" ht="2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0.04</v>
      </c>
    </row>
    <row r="48" spans="1:16" ht="17.25" customHeight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9" ht="17.25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9" ht="18.75" customHeigh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  <c r="L50" s="114">
        <f>SUM(K48:K51)</f>
        <v>0</v>
      </c>
    </row>
    <row r="51" spans="5:19" ht="18.75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M51" s="105">
        <f>+K48+K49+K50</f>
        <v>0</v>
      </c>
      <c r="R51" s="105">
        <f>+G44+G50+G55+G61</f>
        <v>2.0499999999999998</v>
      </c>
    </row>
    <row r="52" spans="5:19" ht="13.5" thickBot="1">
      <c r="E52" s="113"/>
      <c r="G52" s="120"/>
      <c r="H52" s="114"/>
      <c r="I52" s="114"/>
      <c r="J52"/>
      <c r="K52" s="131">
        <f>SUM(K48:K51)</f>
        <v>0</v>
      </c>
    </row>
    <row r="53" spans="5:19" ht="15.75" customHeight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9" ht="15.75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9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  <c r="L55" s="114">
        <f>SUM(K53:K56)</f>
        <v>0</v>
      </c>
      <c r="M55" s="105">
        <f>SUM(K53:K56)</f>
        <v>0</v>
      </c>
    </row>
    <row r="56" spans="5:19" ht="18.75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/>
    </row>
    <row r="57" spans="5:19" ht="18.75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9" ht="18.75" customHeight="1">
      <c r="E58" s="121" t="s">
        <v>70</v>
      </c>
      <c r="F58" t="s">
        <v>63</v>
      </c>
      <c r="G58" s="120">
        <v>0.3</v>
      </c>
      <c r="H58" s="114">
        <v>3.5</v>
      </c>
      <c r="I58" s="114">
        <f>0.3+3.5</f>
        <v>3.8</v>
      </c>
      <c r="J58" s="114">
        <v>0</v>
      </c>
      <c r="K58" s="114">
        <f>+G58+H58-I58-J58</f>
        <v>0</v>
      </c>
      <c r="L58" s="114"/>
    </row>
    <row r="59" spans="5:19" ht="18.75" customHeight="1">
      <c r="E59" s="113"/>
      <c r="F59" t="s">
        <v>64</v>
      </c>
      <c r="G59" s="120">
        <v>4.95</v>
      </c>
      <c r="H59" s="114">
        <f>41.05+1.59+11.97-0.02+4.07</f>
        <v>58.66</v>
      </c>
      <c r="I59" s="114">
        <f>41.05+1.59+11.97-0.02</f>
        <v>54.589999999999996</v>
      </c>
      <c r="J59" s="114">
        <v>4.95</v>
      </c>
      <c r="K59" s="114">
        <f t="shared" ref="K59" si="4">+G59+H59-I59-J59</f>
        <v>4.0700000000000029</v>
      </c>
      <c r="L59" s="114"/>
    </row>
    <row r="60" spans="5:19" ht="18.75" customHeight="1">
      <c r="E60" s="113"/>
      <c r="F60" s="133" t="s">
        <v>71</v>
      </c>
      <c r="G60" s="120">
        <v>0.33</v>
      </c>
      <c r="H60" s="114">
        <v>0</v>
      </c>
      <c r="I60" s="114">
        <f>0.13+0.18</f>
        <v>0.31</v>
      </c>
      <c r="J60" s="114">
        <v>0</v>
      </c>
      <c r="K60" s="114">
        <f>+G60+H60-I60-J60</f>
        <v>2.0000000000000018E-2</v>
      </c>
      <c r="L60" s="114"/>
      <c r="R60" s="105">
        <f>+K44+K50+K55+K61</f>
        <v>0.59999999999999976</v>
      </c>
    </row>
    <row r="61" spans="5:19" ht="18.75" customHeight="1" thickBot="1">
      <c r="E61" s="113"/>
      <c r="F61" t="s">
        <v>66</v>
      </c>
      <c r="G61" s="120">
        <f>1.9-0.08+0.03</f>
        <v>1.8499999999999999</v>
      </c>
      <c r="H61" s="114">
        <v>0</v>
      </c>
      <c r="I61" s="114">
        <f>0.37+0.01+0.02</f>
        <v>0.4</v>
      </c>
      <c r="J61" s="105">
        <f>0.15+0.01+0.73</f>
        <v>0.89</v>
      </c>
      <c r="K61" s="114">
        <f>+G61+H61-I61-J61</f>
        <v>0.55999999999999972</v>
      </c>
      <c r="L61" s="114"/>
    </row>
    <row r="62" spans="5:19" ht="18.75" customHeight="1" thickBot="1">
      <c r="E62" s="113"/>
      <c r="G62" s="120"/>
      <c r="H62" s="114"/>
      <c r="I62" s="114"/>
      <c r="K62" s="134">
        <f>SUM(K58:K61)</f>
        <v>4.650000000000003</v>
      </c>
      <c r="L62" s="114"/>
      <c r="Q62" s="125" t="s">
        <v>61</v>
      </c>
      <c r="R62" s="105">
        <f>+J59+J61+J63+J65</f>
        <v>25.22</v>
      </c>
    </row>
    <row r="63" spans="5:19" ht="18.75" customHeight="1">
      <c r="E63" s="121" t="s">
        <v>72</v>
      </c>
      <c r="F63" t="s">
        <v>63</v>
      </c>
      <c r="G63" s="120">
        <v>0</v>
      </c>
      <c r="H63" s="114">
        <f>550.1+29.5+42.53+11.27+4</f>
        <v>637.4</v>
      </c>
      <c r="I63" s="114">
        <f>412.72+85.59+73.38+33.95+13.64</f>
        <v>619.28000000000009</v>
      </c>
      <c r="J63" s="114">
        <f>0.04+10.06+0.36+3.43+3.21</f>
        <v>17.099999999999998</v>
      </c>
      <c r="K63" s="114">
        <f>+G63+H63-I63-J63</f>
        <v>1.019999999999893</v>
      </c>
      <c r="L63" s="114"/>
      <c r="Q63" s="125" t="s">
        <v>60</v>
      </c>
      <c r="R63" s="105">
        <f>+I55+I61+I65</f>
        <v>33.050000000000004</v>
      </c>
    </row>
    <row r="64" spans="5:19" ht="18.75" customHeight="1">
      <c r="E64" s="113"/>
      <c r="F64" t="s">
        <v>64</v>
      </c>
      <c r="G64" s="120">
        <v>0</v>
      </c>
      <c r="H64" s="114">
        <f>0.34+2.35+14.25+71.55+16.32+46.47+0.01+0.05</f>
        <v>151.34</v>
      </c>
      <c r="I64" s="114">
        <f>16.94+71.55+16.32+42.5+0.01+0.05</f>
        <v>147.37</v>
      </c>
      <c r="J64" s="114">
        <v>0</v>
      </c>
      <c r="K64" s="114">
        <f t="shared" ref="K64" si="5">+G64+H64-I64-J64</f>
        <v>3.9699999999999989</v>
      </c>
      <c r="L64" s="114"/>
      <c r="R64" s="105">
        <f>+R63+I67</f>
        <v>33.450000000000003</v>
      </c>
      <c r="S64" s="105">
        <f>+I55+I60+I61+I65+I67</f>
        <v>33.760000000000005</v>
      </c>
    </row>
    <row r="65" spans="5:18" ht="18.75" customHeight="1" thickBot="1">
      <c r="E65" s="113"/>
      <c r="F65" t="s">
        <v>66</v>
      </c>
      <c r="G65" s="120">
        <v>0</v>
      </c>
      <c r="H65" s="114">
        <f>37.03+0.44+0.72+0.39+0.17+0.09+0.01-0.05</f>
        <v>38.800000000000004</v>
      </c>
      <c r="I65" s="114">
        <f>20.63+2.42+0.01+2.46+3.72+3.78-0.01-0.32-0.12-0.05</f>
        <v>32.520000000000003</v>
      </c>
      <c r="J65" s="105">
        <f>0.01+0.01+0.12+2.45-0.31</f>
        <v>2.2800000000000002</v>
      </c>
      <c r="K65" s="114">
        <f>+G65+H65-I65-J65</f>
        <v>4.0000000000000009</v>
      </c>
      <c r="L65" s="114"/>
    </row>
    <row r="66" spans="5:18" ht="18.75" customHeight="1" thickBot="1">
      <c r="E66" s="113"/>
      <c r="G66" s="120"/>
      <c r="H66" s="114"/>
      <c r="I66" s="114"/>
      <c r="J66" s="114"/>
      <c r="K66" s="134">
        <f>SUM(K63:K65)</f>
        <v>8.9899999999998919</v>
      </c>
      <c r="R66" s="105">
        <f>+H58+H59+H63+H64+H65</f>
        <v>889.69999999999993</v>
      </c>
    </row>
    <row r="67" spans="5:18" ht="18.75" customHeight="1">
      <c r="E67" s="113"/>
      <c r="F67" s="129" t="s">
        <v>50</v>
      </c>
      <c r="G67" s="120">
        <v>2.91</v>
      </c>
      <c r="H67" s="114">
        <f>0.77+0.43+0.06+0.12+0.13+0.02+0.01</f>
        <v>1.5399999999999998</v>
      </c>
      <c r="I67" s="114">
        <f>0.12+0.05+0.23</f>
        <v>0.4</v>
      </c>
      <c r="J67"/>
      <c r="K67" s="114">
        <f>+G67+H67-I67</f>
        <v>4.05</v>
      </c>
      <c r="R67" s="105">
        <f>+I58+I63</f>
        <v>623.08000000000004</v>
      </c>
    </row>
    <row r="68" spans="5:18" ht="18.75" customHeight="1" thickBot="1">
      <c r="E68" s="113"/>
      <c r="F68" s="129" t="s">
        <v>51</v>
      </c>
      <c r="G68" s="120">
        <v>0.31</v>
      </c>
      <c r="H68" s="114"/>
      <c r="I68" s="114"/>
      <c r="J68"/>
      <c r="K68" s="114">
        <f>+G68+H68-I68-J68</f>
        <v>0.31</v>
      </c>
      <c r="M68" s="105">
        <f>+K52+K67+K68</f>
        <v>4.3599999999999994</v>
      </c>
      <c r="R68" s="105">
        <f>+I59+I64</f>
        <v>201.96</v>
      </c>
    </row>
    <row r="69" spans="5:18" ht="18.75" customHeight="1" thickBot="1">
      <c r="E69" s="121" t="s">
        <v>73</v>
      </c>
      <c r="H69" s="114"/>
      <c r="I69" s="114"/>
      <c r="J69"/>
      <c r="K69" s="131">
        <f>+K47+K52+K57+K62+K66+K67+K68</f>
        <v>18.039999999999893</v>
      </c>
      <c r="M69" s="105"/>
      <c r="R69" s="105">
        <f>+I64+I59</f>
        <v>201.96</v>
      </c>
    </row>
    <row r="70" spans="5:18" ht="15.75" customHeight="1">
      <c r="E70" s="121" t="s">
        <v>196</v>
      </c>
      <c r="H70" s="114"/>
      <c r="I70" s="114"/>
      <c r="J70"/>
      <c r="K70" s="135"/>
      <c r="R70" s="105">
        <f>+K44+K50+K55+K61+K65</f>
        <v>4.6000000000000005</v>
      </c>
    </row>
    <row r="71" spans="5:18" ht="15.75" customHeight="1">
      <c r="E71" s="136" t="s">
        <v>75</v>
      </c>
      <c r="G71" s="120">
        <v>158.22</v>
      </c>
      <c r="H71" s="114">
        <f>41.05+1.59+11.97+4.07-0.01</f>
        <v>58.67</v>
      </c>
      <c r="J71" s="137"/>
      <c r="K71" s="114">
        <f>+G71-H71-I71-J71</f>
        <v>99.55</v>
      </c>
      <c r="R71" s="105">
        <f>+R70-1.33</f>
        <v>3.2700000000000005</v>
      </c>
    </row>
    <row r="72" spans="5:18" ht="15.75" customHeight="1">
      <c r="E72" s="138" t="s">
        <v>63</v>
      </c>
      <c r="G72" s="120">
        <v>6</v>
      </c>
      <c r="H72" s="114">
        <v>3.5</v>
      </c>
      <c r="J72" s="137"/>
      <c r="K72" s="114">
        <f t="shared" ref="K72:K73" si="6">+G72-H72-I72-J72</f>
        <v>2.5</v>
      </c>
      <c r="R72" s="105">
        <f>+R71-1.33</f>
        <v>1.9400000000000004</v>
      </c>
    </row>
    <row r="73" spans="5:18" ht="18.75" customHeight="1" thickBot="1">
      <c r="E73" s="138" t="s">
        <v>76</v>
      </c>
      <c r="G73" s="120">
        <v>2.33</v>
      </c>
      <c r="H73" s="114">
        <v>0</v>
      </c>
      <c r="J73" s="137"/>
      <c r="K73" s="114">
        <f t="shared" si="6"/>
        <v>2.33</v>
      </c>
      <c r="M73" s="105"/>
    </row>
    <row r="74" spans="5:18" ht="18.75" customHeight="1" thickBot="1">
      <c r="E74" s="136"/>
      <c r="H74" s="114"/>
      <c r="I74" s="114"/>
      <c r="J74"/>
      <c r="K74" s="131">
        <f>SUM(K71:K73)</f>
        <v>104.38</v>
      </c>
      <c r="R74" s="105">
        <f>+I67+I65+I61+I55+I60</f>
        <v>33.760000000000005</v>
      </c>
    </row>
    <row r="75" spans="5:18" ht="15.75" customHeight="1">
      <c r="E75" s="121" t="s">
        <v>77</v>
      </c>
    </row>
    <row r="76" spans="5:18" ht="18" customHeight="1">
      <c r="E76" s="136" t="s">
        <v>63</v>
      </c>
      <c r="J76" s="137">
        <v>0</v>
      </c>
      <c r="K76" s="114">
        <f>+K5-J76</f>
        <v>12.600000000000023</v>
      </c>
    </row>
    <row r="77" spans="5:18" ht="15.75" customHeight="1">
      <c r="E77" s="136" t="s">
        <v>75</v>
      </c>
      <c r="J77" s="105">
        <v>0</v>
      </c>
      <c r="K77" s="114">
        <f>+K6</f>
        <v>1848.66</v>
      </c>
    </row>
    <row r="78" spans="5:18" ht="15.75" customHeight="1">
      <c r="E78" s="136" t="s">
        <v>66</v>
      </c>
      <c r="J78" s="137">
        <v>0</v>
      </c>
      <c r="K78" s="114">
        <f>+K9-J78</f>
        <v>250</v>
      </c>
    </row>
    <row r="79" spans="5:18" ht="18.75" customHeight="1" thickBot="1">
      <c r="E79" s="136" t="s">
        <v>78</v>
      </c>
      <c r="J79" s="137">
        <v>0</v>
      </c>
      <c r="K79" s="114">
        <f>+K16-J79</f>
        <v>111.19999999999999</v>
      </c>
    </row>
    <row r="80" spans="5:18" ht="23.25" customHeight="1" thickBot="1">
      <c r="E80" s="121" t="s">
        <v>79</v>
      </c>
      <c r="J80" s="139">
        <f>SUM(J76:J79)</f>
        <v>0</v>
      </c>
      <c r="K80" s="140">
        <f>SUM(K76:K79)</f>
        <v>2222.46</v>
      </c>
    </row>
    <row r="81" spans="5:11" ht="18.75" customHeight="1" thickBot="1">
      <c r="E81" s="121" t="s">
        <v>80</v>
      </c>
      <c r="K81" s="141">
        <f>+K69+K74+K80</f>
        <v>2344.88</v>
      </c>
    </row>
    <row r="82" spans="5:11" ht="18.75" customHeight="1" thickBot="1">
      <c r="E82" s="138" t="s">
        <v>186</v>
      </c>
      <c r="K82" s="142">
        <f>+H21</f>
        <v>2426.0100000000002</v>
      </c>
    </row>
    <row r="83" spans="5:11" ht="18.75" customHeight="1" thickBot="1">
      <c r="E83" s="121" t="s">
        <v>82</v>
      </c>
      <c r="K83" s="143">
        <f>+K82-K81</f>
        <v>81.130000000000109</v>
      </c>
    </row>
    <row r="84" spans="5:11" hidden="1"/>
    <row r="85" spans="5:11" hidden="1"/>
    <row r="86" spans="5:11" hidden="1"/>
    <row r="87" spans="5:11" hidden="1"/>
    <row r="88" spans="5:11" hidden="1"/>
    <row r="89" spans="5:11" hidden="1"/>
    <row r="90" spans="5:11" ht="29.25" hidden="1">
      <c r="E90" s="109" t="s">
        <v>83</v>
      </c>
      <c r="G90" s="110">
        <f>649.23+6.61</f>
        <v>655.84</v>
      </c>
      <c r="H90" s="109">
        <f>10866.54-10208.33</f>
        <v>658.21000000000095</v>
      </c>
      <c r="I90" s="106">
        <v>1796.26</v>
      </c>
      <c r="J90" s="111">
        <f>+F97</f>
        <v>84.19</v>
      </c>
      <c r="K90" s="112">
        <f>+I90-J90</f>
        <v>1712.07</v>
      </c>
    </row>
    <row r="91" spans="5:11" hidden="1">
      <c r="H91" s="114"/>
    </row>
    <row r="92" spans="5:11" ht="21" hidden="1">
      <c r="E92" s="121" t="s">
        <v>84</v>
      </c>
      <c r="F92" s="118">
        <f>7.39-2-0.1-0.5-2.94-0.94</f>
        <v>0.91000000000000014</v>
      </c>
      <c r="G92" s="115"/>
      <c r="K92" s="114"/>
    </row>
    <row r="93" spans="5:11" ht="21" hidden="1">
      <c r="E93" s="121" t="s">
        <v>84</v>
      </c>
      <c r="F93" s="144">
        <f>-0.1-0.03-0.35-0.43</f>
        <v>-0.90999999999999992</v>
      </c>
      <c r="G93" s="115" t="s">
        <v>61</v>
      </c>
      <c r="K93" s="114"/>
    </row>
    <row r="94" spans="5:11" ht="21" hidden="1">
      <c r="E94" s="117" t="s">
        <v>50</v>
      </c>
      <c r="F94" s="118">
        <v>0.66</v>
      </c>
    </row>
    <row r="95" spans="5:11" ht="21" hidden="1">
      <c r="E95" s="117" t="s">
        <v>51</v>
      </c>
      <c r="F95" s="118">
        <v>0.31</v>
      </c>
      <c r="H95" s="109"/>
    </row>
    <row r="96" spans="5:11" ht="21" hidden="1">
      <c r="E96" s="121" t="s">
        <v>52</v>
      </c>
      <c r="F96" s="114">
        <f>190.07+11.66+0.01-3.08-0.04-25.64-3.26-2.85+64.94+0.86-2.19-15.72-3.83-16.38-0.35-0.29-89.5-29.27+3.12+3.88+0.02+1.06</f>
        <v>83.22</v>
      </c>
      <c r="G96" s="110"/>
      <c r="H96" s="122"/>
    </row>
    <row r="97" spans="5:11" hidden="1">
      <c r="E97" s="113"/>
      <c r="F97" s="145">
        <f>SUM(F92:F96)</f>
        <v>84.19</v>
      </c>
      <c r="G97" s="115"/>
      <c r="H97" s="109"/>
    </row>
    <row r="98" spans="5:11" hidden="1">
      <c r="E98" s="113"/>
      <c r="G98" s="124" t="s">
        <v>85</v>
      </c>
      <c r="H98" s="125" t="s">
        <v>60</v>
      </c>
      <c r="I98" s="125" t="s">
        <v>61</v>
      </c>
      <c r="J98" s="125" t="s">
        <v>62</v>
      </c>
    </row>
    <row r="99" spans="5:11" ht="21" hidden="1">
      <c r="E99" s="121" t="s">
        <v>52</v>
      </c>
      <c r="F99" t="s">
        <v>63</v>
      </c>
      <c r="G99" s="120">
        <f>410.71+316.98+108.36+17.17</f>
        <v>853.22</v>
      </c>
      <c r="H99" s="114">
        <v>790.87</v>
      </c>
      <c r="I99">
        <f>3.19+14.05+19.83+3.08+16.38</f>
        <v>56.53</v>
      </c>
      <c r="J99" s="114">
        <f>+G99-H99-I99</f>
        <v>5.8200000000000216</v>
      </c>
    </row>
    <row r="100" spans="5:11" ht="21" hidden="1">
      <c r="E100" s="121"/>
      <c r="F100" t="s">
        <v>64</v>
      </c>
      <c r="G100" s="120">
        <f>0.9+44.05+21.2+27.17+11.66+64.94</f>
        <v>169.92</v>
      </c>
      <c r="H100" s="127">
        <f>67.88-2.94+29.27+3.83</f>
        <v>98.039999999999992</v>
      </c>
      <c r="I100">
        <v>0.35</v>
      </c>
      <c r="J100" s="114">
        <f>+G100-H100-I100</f>
        <v>71.53</v>
      </c>
    </row>
    <row r="101" spans="5:11" ht="21" hidden="1">
      <c r="E101" s="121"/>
      <c r="F101" t="s">
        <v>66</v>
      </c>
      <c r="G101" s="120">
        <f>24.35+0.37+0.13+0.01+0.02+3.12</f>
        <v>28.000000000000004</v>
      </c>
      <c r="H101" s="114">
        <f>24.62-2.01+0.25</f>
        <v>22.86</v>
      </c>
      <c r="I101">
        <f>0.04+0.29</f>
        <v>0.32999999999999996</v>
      </c>
      <c r="J101" s="114">
        <f>+G101-H101-I101</f>
        <v>4.8100000000000041</v>
      </c>
    </row>
    <row r="102" spans="5:11" ht="21.75" hidden="1" thickBot="1">
      <c r="E102" s="121"/>
      <c r="F102" t="s">
        <v>86</v>
      </c>
      <c r="G102" s="120"/>
      <c r="H102" s="114"/>
      <c r="J102" s="114">
        <v>1.06</v>
      </c>
    </row>
    <row r="103" spans="5:11" ht="21.75" hidden="1" thickBot="1">
      <c r="E103" s="121"/>
      <c r="G103" s="120"/>
      <c r="H103" s="114"/>
      <c r="J103" s="131">
        <f>SUM(J99:J102)</f>
        <v>83.220000000000027</v>
      </c>
    </row>
    <row r="104" spans="5:11" ht="21" hidden="1">
      <c r="E104" s="121" t="s">
        <v>84</v>
      </c>
      <c r="F104" t="s">
        <v>63</v>
      </c>
      <c r="G104" s="120">
        <v>2</v>
      </c>
      <c r="H104" s="114">
        <v>2</v>
      </c>
      <c r="J104" s="114">
        <f>+G104-H104-I104</f>
        <v>0</v>
      </c>
    </row>
    <row r="105" spans="5:11" hidden="1">
      <c r="E105" s="113"/>
      <c r="F105" t="s">
        <v>64</v>
      </c>
      <c r="G105" s="120">
        <v>7.11</v>
      </c>
      <c r="H105" s="127">
        <v>6.76</v>
      </c>
      <c r="I105" s="114">
        <v>0.35</v>
      </c>
      <c r="J105" s="114">
        <f>+G105-H105-I105</f>
        <v>5.5511151231257827E-16</v>
      </c>
    </row>
    <row r="106" spans="5:11" ht="13.5" hidden="1" thickBot="1">
      <c r="E106" s="113"/>
      <c r="F106" t="s">
        <v>66</v>
      </c>
      <c r="G106" s="120">
        <f>2.67-0.1</f>
        <v>2.57</v>
      </c>
      <c r="H106" s="114">
        <f>0.33+0.19+0.05+0.5+0.94</f>
        <v>2.0099999999999998</v>
      </c>
      <c r="I106" s="114">
        <f>0.13+0.43</f>
        <v>0.56000000000000005</v>
      </c>
      <c r="J106" s="114">
        <f>+G106-H106-I106</f>
        <v>0</v>
      </c>
    </row>
    <row r="107" spans="5:11" ht="13.5" hidden="1" thickBot="1">
      <c r="E107" s="113"/>
      <c r="G107" s="120"/>
      <c r="H107" s="114"/>
      <c r="J107" s="131">
        <f>SUM(J104:J106)</f>
        <v>5.5511151231257827E-16</v>
      </c>
      <c r="K107" s="114"/>
    </row>
    <row r="108" spans="5:11" ht="18" hidden="1">
      <c r="E108" s="113"/>
      <c r="F108" s="129" t="s">
        <v>50</v>
      </c>
      <c r="G108" s="120"/>
      <c r="H108" s="114"/>
      <c r="J108" s="114">
        <v>0.66</v>
      </c>
      <c r="K108" s="114"/>
    </row>
    <row r="109" spans="5:11" ht="18.75" hidden="1" thickBot="1">
      <c r="E109" s="113"/>
      <c r="F109" s="129" t="s">
        <v>51</v>
      </c>
      <c r="G109" s="120"/>
      <c r="H109" s="114"/>
      <c r="J109" s="114">
        <v>0.31</v>
      </c>
      <c r="K109" s="114"/>
    </row>
    <row r="110" spans="5:11" ht="21.75" hidden="1" thickBot="1">
      <c r="E110" s="121" t="s">
        <v>87</v>
      </c>
      <c r="G110" s="120"/>
      <c r="H110" s="114"/>
      <c r="J110" s="140">
        <f>+J103+J107+J108+J109</f>
        <v>84.190000000000026</v>
      </c>
      <c r="K110" s="114">
        <f>K81-K82</f>
        <v>-81.130000000000109</v>
      </c>
    </row>
  </sheetData>
  <mergeCells count="9">
    <mergeCell ref="I22:K22"/>
    <mergeCell ref="I23:K23"/>
    <mergeCell ref="J25:K25"/>
    <mergeCell ref="A1:I1"/>
    <mergeCell ref="J1:K1"/>
    <mergeCell ref="A2:D2"/>
    <mergeCell ref="E2:H2"/>
    <mergeCell ref="I2:K2"/>
    <mergeCell ref="I21:K21"/>
  </mergeCells>
  <printOptions horizontalCentered="1"/>
  <pageMargins left="0.51181102362204722" right="0.15748031496062992" top="0.9055118110236221" bottom="0" header="0.51181102362204722" footer="0"/>
  <pageSetup paperSize="9" scale="73" orientation="landscape" horizontalDpi="4294967293" r:id="rId1"/>
  <headerFooter alignWithMargins="0">
    <oddHeader>&amp;R&amp;P</oddHeader>
    <oddFooter>&amp;Rกงบ. สบท. 3 พ.ย. 2557</oddFooter>
  </headerFooter>
  <rowBreaks count="2" manualBreakCount="2">
    <brk id="32" max="10" man="1"/>
    <brk id="69" max="10" man="1"/>
  </rowBreaks>
  <colBreaks count="1" manualBreakCount="1">
    <brk id="11" max="1048575" man="1"/>
  </col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70C0"/>
  </sheetPr>
  <dimension ref="A1:S47"/>
  <sheetViews>
    <sheetView zoomScaleSheetLayoutView="75" workbookViewId="0">
      <selection activeCell="H12" sqref="H12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179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180</v>
      </c>
      <c r="C3" s="149"/>
      <c r="D3" s="149"/>
      <c r="E3" s="149"/>
      <c r="F3" s="149"/>
      <c r="G3" s="149"/>
      <c r="H3" s="149"/>
      <c r="J3" s="150">
        <f>SUM(J4:J7)</f>
        <v>2426</v>
      </c>
      <c r="K3" s="150"/>
      <c r="L3" s="149" t="s">
        <v>90</v>
      </c>
    </row>
    <row r="4" spans="1:19">
      <c r="C4" s="146" t="s">
        <v>91</v>
      </c>
      <c r="J4" s="151">
        <v>1.1100000000000001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2409.02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11.98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3.89</v>
      </c>
      <c r="K7" s="151"/>
      <c r="L7" s="146" t="s">
        <v>90</v>
      </c>
      <c r="N7" s="147" t="s">
        <v>95</v>
      </c>
      <c r="P7" s="152">
        <f>SUM(J6:J7)</f>
        <v>15.870000000000001</v>
      </c>
      <c r="Q7" s="153"/>
      <c r="S7" s="173">
        <f>+J4+J6+J7</f>
        <v>16.98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2426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2344.88</v>
      </c>
      <c r="K10" s="157"/>
      <c r="L10" s="156" t="s">
        <v>90</v>
      </c>
    </row>
    <row r="11" spans="1:19">
      <c r="D11" s="146" t="s">
        <v>98</v>
      </c>
      <c r="J11" s="151">
        <f>+I30</f>
        <v>2327.9</v>
      </c>
      <c r="K11" s="151"/>
      <c r="L11" s="146" t="s">
        <v>90</v>
      </c>
    </row>
    <row r="12" spans="1:19">
      <c r="D12" s="146" t="s">
        <v>99</v>
      </c>
      <c r="J12" s="151">
        <f>+I41</f>
        <v>16.98</v>
      </c>
      <c r="K12" s="151"/>
      <c r="L12" s="146" t="s">
        <v>90</v>
      </c>
      <c r="N12" s="147">
        <f>79.47+71.91+5.93-2.01</f>
        <v>155.30000000000001</v>
      </c>
      <c r="S12" s="173">
        <f>+J12+J15</f>
        <v>16.98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81.119999999999891</v>
      </c>
      <c r="K13" s="157"/>
      <c r="L13" s="156" t="s">
        <v>90</v>
      </c>
      <c r="N13" s="159">
        <f>+J14+J11</f>
        <v>2409.02</v>
      </c>
    </row>
    <row r="14" spans="1:19">
      <c r="D14" s="146" t="s">
        <v>98</v>
      </c>
      <c r="J14" s="151">
        <f>+J5-I30</f>
        <v>81.119999999999891</v>
      </c>
      <c r="K14" s="151"/>
      <c r="L14" s="146" t="s">
        <v>90</v>
      </c>
      <c r="N14" s="147">
        <f>+J15+J12</f>
        <v>16.98</v>
      </c>
    </row>
    <row r="15" spans="1:19">
      <c r="D15" s="146" t="s">
        <v>99</v>
      </c>
      <c r="J15" s="151">
        <f>+J4+J6+J7-J12</f>
        <v>0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181</v>
      </c>
      <c r="J18" s="157">
        <f>+J3</f>
        <v>2426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115.58-11.97-0-4.07</f>
        <v>99.539999999999992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104.85999999999999</v>
      </c>
      <c r="I27" s="157"/>
    </row>
    <row r="28" spans="2:12">
      <c r="D28" s="156" t="s">
        <v>112</v>
      </c>
      <c r="G28" s="164">
        <v>2222.48</v>
      </c>
      <c r="H28" s="147"/>
      <c r="I28" s="157"/>
    </row>
    <row r="29" spans="2:12">
      <c r="D29" s="146" t="s">
        <v>192</v>
      </c>
      <c r="G29" s="164">
        <v>0.06</v>
      </c>
      <c r="H29" s="147"/>
      <c r="I29" s="157"/>
    </row>
    <row r="30" spans="2:12">
      <c r="D30" s="146" t="s">
        <v>189</v>
      </c>
      <c r="G30" s="163">
        <f>0.9-0.4</f>
        <v>0.5</v>
      </c>
      <c r="H30" s="165">
        <f>SUM(G28:G30)</f>
        <v>2223.04</v>
      </c>
      <c r="I30" s="157">
        <f>+H27+H30</f>
        <v>2327.9</v>
      </c>
    </row>
    <row r="31" spans="2:12" ht="21.75" customHeight="1">
      <c r="D31" s="156" t="s">
        <v>114</v>
      </c>
      <c r="G31" s="162"/>
      <c r="H31" s="166"/>
      <c r="I31" s="157"/>
    </row>
    <row r="32" spans="2:12" ht="21.75" customHeight="1">
      <c r="D32" s="156" t="s">
        <v>105</v>
      </c>
      <c r="G32" s="162"/>
      <c r="H32" s="166"/>
      <c r="I32" s="157"/>
    </row>
    <row r="33" spans="3:14">
      <c r="D33" s="146" t="s">
        <v>106</v>
      </c>
      <c r="G33" s="162">
        <f>0.69+11.97-11.97-0.69+4.07</f>
        <v>4.07</v>
      </c>
      <c r="H33" s="147"/>
      <c r="I33" s="157"/>
    </row>
    <row r="34" spans="3:14">
      <c r="D34" s="146" t="s">
        <v>115</v>
      </c>
      <c r="G34" s="162">
        <v>0</v>
      </c>
      <c r="H34" s="147"/>
      <c r="I34" s="157"/>
    </row>
    <row r="35" spans="3:14">
      <c r="D35" s="146" t="s">
        <v>116</v>
      </c>
      <c r="G35" s="162">
        <v>1.33</v>
      </c>
      <c r="H35" s="147"/>
      <c r="I35" s="157"/>
    </row>
    <row r="36" spans="3:14">
      <c r="D36" s="146" t="s">
        <v>110</v>
      </c>
      <c r="G36" s="163">
        <f>2.63-0.05-0.23</f>
        <v>2.35</v>
      </c>
      <c r="H36" s="167">
        <f>SUM(G33:G36)</f>
        <v>7.75</v>
      </c>
      <c r="I36" s="168"/>
      <c r="L36" s="156"/>
      <c r="N36" s="147">
        <f>1.36+0.11</f>
        <v>1.4700000000000002</v>
      </c>
    </row>
    <row r="37" spans="3:14">
      <c r="D37" s="156" t="s">
        <v>112</v>
      </c>
      <c r="G37" s="169"/>
      <c r="H37" s="167"/>
      <c r="I37" s="168"/>
      <c r="L37" s="156"/>
    </row>
    <row r="38" spans="3:14">
      <c r="D38" s="146" t="s">
        <v>106</v>
      </c>
      <c r="G38" s="164">
        <f>46.47-42.5</f>
        <v>3.9699999999999989</v>
      </c>
      <c r="H38" s="167"/>
      <c r="I38" s="168"/>
      <c r="L38" s="156"/>
    </row>
    <row r="39" spans="3:14">
      <c r="D39" s="146" t="s">
        <v>115</v>
      </c>
      <c r="G39" s="164">
        <f>13.88+4-13.64-3.21</f>
        <v>1.030000000000002</v>
      </c>
      <c r="H39" s="167"/>
      <c r="I39" s="168"/>
      <c r="L39" s="156"/>
    </row>
    <row r="40" spans="3:14">
      <c r="D40" s="146" t="s">
        <v>116</v>
      </c>
      <c r="G40" s="164">
        <f>8.32+0.17-2.45-3.35</f>
        <v>2.69</v>
      </c>
      <c r="H40" s="167"/>
      <c r="I40" s="168"/>
      <c r="L40" s="156"/>
    </row>
    <row r="41" spans="3:14">
      <c r="D41" s="146" t="s">
        <v>110</v>
      </c>
      <c r="G41" s="163">
        <f>1.53+0.01</f>
        <v>1.54</v>
      </c>
      <c r="H41" s="165">
        <f>SUM(G38:G41)</f>
        <v>9.23</v>
      </c>
      <c r="I41" s="168">
        <f>+H36+H41</f>
        <v>16.98</v>
      </c>
      <c r="J41" s="170">
        <f>+I30+I41</f>
        <v>2344.88</v>
      </c>
      <c r="L41" s="156"/>
    </row>
    <row r="42" spans="3:14" ht="21.75" thickBot="1">
      <c r="C42" s="156" t="s">
        <v>182</v>
      </c>
      <c r="I42" s="171"/>
      <c r="J42" s="172">
        <f>+J18-J41</f>
        <v>81.119999999999891</v>
      </c>
      <c r="K42" s="168"/>
      <c r="L42" s="156" t="s">
        <v>90</v>
      </c>
    </row>
    <row r="43" spans="3:14" ht="21.75" thickTop="1"/>
    <row r="44" spans="3:14">
      <c r="C44" s="156"/>
      <c r="H44" s="173"/>
    </row>
    <row r="46" spans="3:14" hidden="1">
      <c r="G46" s="152">
        <f>+G36+G41</f>
        <v>3.89</v>
      </c>
    </row>
    <row r="47" spans="3:14" hidden="1">
      <c r="G47" s="152">
        <f>+J7-G46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ต.ค. 2557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70C0"/>
  </sheetPr>
  <dimension ref="A1:S109"/>
  <sheetViews>
    <sheetView view="pageBreakPreview" zoomScale="90" zoomScaleNormal="90" zoomScaleSheetLayoutView="100" workbookViewId="0">
      <pane xSplit="1" ySplit="3" topLeftCell="E4" activePane="bottomRight" state="frozenSplit"/>
      <selection pane="topRight" activeCell="B1" sqref="B1"/>
      <selection pane="bottomLeft" activeCell="B4" sqref="B4"/>
      <selection pane="bottomRight" activeCell="J8" sqref="J8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185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184</v>
      </c>
      <c r="E3" s="1" t="s">
        <v>5</v>
      </c>
      <c r="F3" s="2" t="s">
        <v>9</v>
      </c>
      <c r="G3" s="3" t="s">
        <v>7</v>
      </c>
      <c r="H3" s="5" t="s">
        <v>183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824.98</v>
      </c>
      <c r="H4" s="16">
        <f>SUM(H5:H8)</f>
        <v>11891.6</v>
      </c>
      <c r="I4" s="17">
        <f>SUM(I5:I8)</f>
        <v>2900</v>
      </c>
      <c r="J4" s="18">
        <f>SUM(J5:J8)</f>
        <v>788.68</v>
      </c>
      <c r="K4" s="19">
        <f>SUM(K5:K8)</f>
        <v>2111.3200000000002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502.11+73.38+33.95+13.64</f>
        <v>623.08000000000004</v>
      </c>
      <c r="H5" s="27">
        <f>+F5+G5</f>
        <v>8444.91</v>
      </c>
      <c r="I5" s="28">
        <v>650</v>
      </c>
      <c r="J5" s="29">
        <f>622.13+11.27+4</f>
        <v>637.4</v>
      </c>
      <c r="K5" s="30">
        <f>+I5-J5</f>
        <v>12.600000000000023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131.11+11.97+16.32+42.5</f>
        <v>201.9</v>
      </c>
      <c r="H6" s="27">
        <f>+F6+G6</f>
        <v>3162.09</v>
      </c>
      <c r="I6" s="33">
        <v>2000</v>
      </c>
      <c r="J6" s="34">
        <f>88.49+16.32+46.47</f>
        <v>151.28</v>
      </c>
      <c r="K6" s="35">
        <f>+I6-J6</f>
        <v>1848.72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34.25</v>
      </c>
      <c r="H9" s="16">
        <f>SUM(H10:H18)</f>
        <v>2778.83</v>
      </c>
      <c r="I9" s="17">
        <f>SUM(I15:I16)</f>
        <v>150</v>
      </c>
      <c r="J9" s="50">
        <f>SUM(J15:J16)</f>
        <v>38.840000000000003</v>
      </c>
      <c r="K9" s="51">
        <f>SUM(K15:K16)</f>
        <v>111.16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987.40999999999985</v>
      </c>
      <c r="D10" s="24">
        <f>SUM(O11:O17)</f>
        <v>10023.200000000001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28.77</v>
      </c>
      <c r="D11" s="58">
        <f>+B11+C11</f>
        <v>705.32999999999993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705.32999999999993</v>
      </c>
    </row>
    <row r="12" spans="1:15" s="20" customFormat="1" ht="23.25">
      <c r="A12" s="21" t="s">
        <v>29</v>
      </c>
      <c r="B12" s="31">
        <v>679.13</v>
      </c>
      <c r="C12" s="32">
        <v>51.77</v>
      </c>
      <c r="D12" s="58">
        <f t="shared" ref="D12:D17" si="2">+B12+C12</f>
        <v>730.9</v>
      </c>
      <c r="E12" s="21" t="s">
        <v>30</v>
      </c>
      <c r="F12" s="31">
        <v>83.69</v>
      </c>
      <c r="G12" s="32">
        <v>2.76</v>
      </c>
      <c r="H12" s="27">
        <f t="shared" si="0"/>
        <v>86.45</v>
      </c>
      <c r="I12" s="33"/>
      <c r="J12" s="43">
        <v>0</v>
      </c>
      <c r="K12" s="44">
        <f>+I12-J12</f>
        <v>0</v>
      </c>
      <c r="L12" s="57"/>
      <c r="O12" s="59">
        <f t="shared" si="1"/>
        <v>730.9</v>
      </c>
    </row>
    <row r="13" spans="1:15" s="20" customFormat="1" ht="23.25">
      <c r="A13" s="21" t="s">
        <v>31</v>
      </c>
      <c r="B13" s="31">
        <v>256.90000000000003</v>
      </c>
      <c r="C13" s="32">
        <v>12.38</v>
      </c>
      <c r="D13" s="58">
        <f t="shared" si="2"/>
        <v>269.28000000000003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269.28000000000003</v>
      </c>
    </row>
    <row r="14" spans="1:15" s="20" customFormat="1" ht="23.25">
      <c r="A14" s="21" t="s">
        <v>33</v>
      </c>
      <c r="B14" s="31">
        <v>6054.08</v>
      </c>
      <c r="C14" s="32">
        <v>743.93</v>
      </c>
      <c r="D14" s="58">
        <f t="shared" si="2"/>
        <v>6798.01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6798.01</v>
      </c>
    </row>
    <row r="15" spans="1:15" s="20" customFormat="1" ht="23.25">
      <c r="A15" s="21" t="s">
        <v>35</v>
      </c>
      <c r="B15" s="60">
        <v>84.41</v>
      </c>
      <c r="C15" s="32">
        <v>2.68</v>
      </c>
      <c r="D15" s="58">
        <f t="shared" si="2"/>
        <v>87.09</v>
      </c>
      <c r="E15" s="21" t="s">
        <v>36</v>
      </c>
      <c r="F15" s="31">
        <v>1011.25</v>
      </c>
      <c r="G15" s="32">
        <f>21.31+2.46+3.71+4.01</f>
        <v>31.490000000000002</v>
      </c>
      <c r="H15" s="27">
        <f t="shared" si="0"/>
        <v>1042.74</v>
      </c>
      <c r="I15" s="33">
        <v>150</v>
      </c>
      <c r="J15" s="61">
        <f>37.47+0.72+0.39+0.17+0.09</f>
        <v>38.840000000000003</v>
      </c>
      <c r="K15" s="35">
        <f>+I15-J15-J16</f>
        <v>111.16</v>
      </c>
      <c r="L15" s="57"/>
      <c r="O15" s="59">
        <f t="shared" si="1"/>
        <v>87.09</v>
      </c>
    </row>
    <row r="16" spans="1:15" s="20" customFormat="1" ht="23.25">
      <c r="A16" s="21" t="s">
        <v>37</v>
      </c>
      <c r="B16" s="62">
        <v>440.08</v>
      </c>
      <c r="C16" s="32">
        <v>50.11</v>
      </c>
      <c r="D16" s="58">
        <f t="shared" si="2"/>
        <v>490.19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490.19</v>
      </c>
    </row>
    <row r="17" spans="1:18" s="20" customFormat="1" ht="23.25">
      <c r="A17" s="21" t="s">
        <v>39</v>
      </c>
      <c r="B17" s="65">
        <v>844.63</v>
      </c>
      <c r="C17" s="32">
        <v>97.77</v>
      </c>
      <c r="D17" s="58">
        <f t="shared" si="2"/>
        <v>942.4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942.4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859.23</v>
      </c>
      <c r="H19" s="83">
        <f>+H4+H9</f>
        <v>14670.43</v>
      </c>
      <c r="I19" s="19">
        <f>+I4+I9</f>
        <v>3050</v>
      </c>
      <c r="J19" s="84">
        <f>+J4+J9</f>
        <v>827.52</v>
      </c>
      <c r="K19" s="51">
        <f>+K4+K9</f>
        <v>2222.48</v>
      </c>
      <c r="M19" s="20">
        <f>F20+G20</f>
        <v>2425.9999999999995</v>
      </c>
      <c r="O19" s="85"/>
    </row>
    <row r="20" spans="1:18" s="20" customFormat="1" ht="23.25">
      <c r="A20" s="86"/>
      <c r="B20" s="74"/>
      <c r="C20" s="71"/>
      <c r="D20" s="80"/>
      <c r="E20" s="87" t="s">
        <v>187</v>
      </c>
      <c r="F20" s="88">
        <f>B22-F19</f>
        <v>2297.8199999999997</v>
      </c>
      <c r="G20" s="89">
        <f>C22-G19</f>
        <v>128.17999999999984</v>
      </c>
      <c r="H20" s="90">
        <f>+D22-H19</f>
        <v>2426</v>
      </c>
      <c r="I20" s="225" t="s">
        <v>190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188</v>
      </c>
      <c r="F21" s="95"/>
      <c r="G21" s="96"/>
      <c r="H21" s="97"/>
      <c r="I21" s="214" t="s">
        <v>191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-2426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987.40999999999985</v>
      </c>
      <c r="D22" s="100">
        <f>SUM(D4:D10)</f>
        <v>17096.43</v>
      </c>
      <c r="E22" s="101" t="s">
        <v>46</v>
      </c>
      <c r="F22" s="102">
        <f>SUM(F19:F20)</f>
        <v>16109.02</v>
      </c>
      <c r="G22" s="103">
        <f>SUM(G19:G20)</f>
        <v>987.40999999999985</v>
      </c>
      <c r="H22" s="102">
        <f>+H19+H20</f>
        <v>17096.43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8"/>
      <c r="K25" s="178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2426</v>
      </c>
      <c r="J26" s="111">
        <f>+F39</f>
        <v>18.029999999999902</v>
      </c>
      <c r="K26" s="112">
        <f>+I26-J26</f>
        <v>2407.9700000000003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4.05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0.01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1.999999999999999E-2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5.3800000000000034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8.2199999999998994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18.029999999999902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>
        <v>0.69</v>
      </c>
      <c r="K48" s="114">
        <f>+G48+H48-I48-J48</f>
        <v>0</v>
      </c>
    </row>
    <row r="49" spans="5:19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9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0.01</v>
      </c>
    </row>
    <row r="51" spans="5:19" ht="18.75" customHeight="1" thickBot="1">
      <c r="E51" s="113"/>
      <c r="G51" s="120"/>
      <c r="H51" s="114"/>
      <c r="I51" s="114"/>
      <c r="J51"/>
      <c r="K51" s="131">
        <f>SUM(K47:K50)</f>
        <v>0.01</v>
      </c>
      <c r="M51" s="105">
        <f>+K47+K48+K49</f>
        <v>0.01</v>
      </c>
      <c r="R51" s="105">
        <f>+G43+G49+G54+G60</f>
        <v>2.0499999999999998</v>
      </c>
    </row>
    <row r="52" spans="5:19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9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 t="shared" ref="K53:K55" si="3">+G53+H53-I53-J53</f>
        <v>0</v>
      </c>
    </row>
    <row r="54" spans="5:19" ht="15.75" customHeight="1" thickBot="1">
      <c r="E54" s="113"/>
      <c r="F54" t="s">
        <v>66</v>
      </c>
      <c r="G54" s="120">
        <v>0.15</v>
      </c>
      <c r="H54" s="114">
        <v>0</v>
      </c>
      <c r="I54" s="114">
        <v>0.13</v>
      </c>
      <c r="J54" s="114">
        <v>0</v>
      </c>
      <c r="K54" s="114">
        <f t="shared" si="3"/>
        <v>1.999999999999999E-2</v>
      </c>
    </row>
    <row r="55" spans="5:19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 t="shared" si="3"/>
        <v>0</v>
      </c>
      <c r="L55" s="114">
        <f>SUM(K52:K55)</f>
        <v>1.999999999999999E-2</v>
      </c>
      <c r="M55" s="105">
        <f>SUM(K52:K55)</f>
        <v>1.999999999999999E-2</v>
      </c>
    </row>
    <row r="56" spans="5:19" ht="18.75" customHeight="1" thickBot="1">
      <c r="E56" s="113"/>
      <c r="F56" s="128"/>
      <c r="G56" s="120"/>
      <c r="H56" s="114"/>
      <c r="I56" s="114"/>
      <c r="J56" s="114"/>
      <c r="K56" s="131">
        <f>SUM(K52:K55)</f>
        <v>1.999999999999999E-2</v>
      </c>
      <c r="L56" s="114"/>
    </row>
    <row r="57" spans="5:19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9" ht="18.75" customHeight="1">
      <c r="E58" s="113"/>
      <c r="F58" t="s">
        <v>64</v>
      </c>
      <c r="G58" s="120">
        <v>4.95</v>
      </c>
      <c r="H58" s="114">
        <f>41.05+1.59+11.97-0.02+4.07</f>
        <v>58.66</v>
      </c>
      <c r="I58" s="114">
        <f>41.05+1.59+11.97-0.02</f>
        <v>54.589999999999996</v>
      </c>
      <c r="J58" s="114">
        <v>4.95</v>
      </c>
      <c r="K58" s="114">
        <f t="shared" ref="K58" si="4">+G58+H58-I58-J58</f>
        <v>4.0700000000000029</v>
      </c>
      <c r="L58" s="114"/>
    </row>
    <row r="59" spans="5:19" ht="18.75" customHeight="1">
      <c r="E59" s="113"/>
      <c r="F59" s="133" t="s">
        <v>71</v>
      </c>
      <c r="G59" s="120">
        <v>0.33</v>
      </c>
      <c r="H59" s="114">
        <v>0</v>
      </c>
      <c r="I59" s="114">
        <f>0.13+0.18</f>
        <v>0.31</v>
      </c>
      <c r="J59" s="114">
        <v>0</v>
      </c>
      <c r="K59" s="114">
        <f>+G59+H59-I59-J59</f>
        <v>2.0000000000000018E-2</v>
      </c>
      <c r="L59" s="114"/>
    </row>
    <row r="60" spans="5:19" ht="18.75" customHeight="1" thickBot="1">
      <c r="E60" s="113"/>
      <c r="F60" t="s">
        <v>66</v>
      </c>
      <c r="G60" s="120">
        <f>1.9-0.08+0.03</f>
        <v>1.8499999999999999</v>
      </c>
      <c r="H60" s="114">
        <v>0</v>
      </c>
      <c r="I60" s="114">
        <f>0.37+0.01+0.02</f>
        <v>0.4</v>
      </c>
      <c r="J60" s="105">
        <f>0.15+0.01</f>
        <v>0.16</v>
      </c>
      <c r="K60" s="114">
        <f>+G60+H60-I60-J60</f>
        <v>1.2899999999999998</v>
      </c>
      <c r="L60" s="114"/>
      <c r="R60" s="105">
        <f>+K43+K49+K54+K60</f>
        <v>1.3599999999999999</v>
      </c>
    </row>
    <row r="61" spans="5:19" ht="18.75" customHeight="1" thickBot="1">
      <c r="E61" s="113"/>
      <c r="G61" s="120"/>
      <c r="H61" s="114"/>
      <c r="I61" s="114"/>
      <c r="K61" s="134">
        <f>SUM(K57:K60)</f>
        <v>5.3800000000000034</v>
      </c>
      <c r="L61" s="114"/>
    </row>
    <row r="62" spans="5:19" ht="18.75" customHeight="1">
      <c r="E62" s="121" t="s">
        <v>72</v>
      </c>
      <c r="F62" t="s">
        <v>63</v>
      </c>
      <c r="G62" s="120">
        <v>0</v>
      </c>
      <c r="H62" s="114">
        <f>550.1+29.5+42.53+11.27+4</f>
        <v>637.4</v>
      </c>
      <c r="I62" s="114">
        <f>412.72+85.59+73.38+33.95+13.64</f>
        <v>619.28000000000009</v>
      </c>
      <c r="J62" s="114">
        <f>0.04+10.06+0.36+3.43+3.21</f>
        <v>17.099999999999998</v>
      </c>
      <c r="K62" s="114">
        <f>+G62+H62-I62-J62</f>
        <v>1.019999999999893</v>
      </c>
      <c r="L62" s="114"/>
      <c r="Q62" s="125" t="s">
        <v>61</v>
      </c>
      <c r="R62" s="105">
        <f>+J58+J60+J62+J64</f>
        <v>24.799999999999997</v>
      </c>
    </row>
    <row r="63" spans="5:19" ht="18.75" customHeight="1">
      <c r="E63" s="113"/>
      <c r="F63" t="s">
        <v>64</v>
      </c>
      <c r="G63" s="120">
        <v>0</v>
      </c>
      <c r="H63" s="114">
        <f>0.34+2.35+14.25+71.55+16.32+46.47</f>
        <v>151.28</v>
      </c>
      <c r="I63" s="114">
        <f>16.94+71.55+16.32+42.5</f>
        <v>147.31</v>
      </c>
      <c r="J63" s="114">
        <v>0</v>
      </c>
      <c r="K63" s="114">
        <f t="shared" ref="K63" si="5">+G63+H63-I63-J63</f>
        <v>3.9699999999999989</v>
      </c>
      <c r="L63" s="114"/>
      <c r="Q63" s="125" t="s">
        <v>60</v>
      </c>
      <c r="R63" s="105">
        <f>+I54+I60+I64</f>
        <v>33.549999999999997</v>
      </c>
    </row>
    <row r="64" spans="5:19" ht="18.75" customHeight="1" thickBot="1">
      <c r="E64" s="113"/>
      <c r="F64" t="s">
        <v>66</v>
      </c>
      <c r="G64" s="120">
        <v>0</v>
      </c>
      <c r="H64" s="114">
        <f>37.03+0.44+0.72+0.39+0.17+0.09</f>
        <v>38.840000000000003</v>
      </c>
      <c r="I64" s="114">
        <f>20.63+2.42+0.01+2.46+3.72+3.78</f>
        <v>33.019999999999996</v>
      </c>
      <c r="J64" s="105">
        <f>0.01+0.01+0.12+2.45</f>
        <v>2.5900000000000003</v>
      </c>
      <c r="K64" s="114">
        <f>+G64+H64-I64-J64</f>
        <v>3.2300000000000071</v>
      </c>
      <c r="L64" s="114"/>
      <c r="R64" s="105">
        <f>+R63+I66</f>
        <v>33.949999999999996</v>
      </c>
      <c r="S64" s="105">
        <f>+I54+I59+I60+I64+I66</f>
        <v>34.26</v>
      </c>
    </row>
    <row r="65" spans="5:18" ht="18.75" customHeight="1" thickBot="1">
      <c r="E65" s="113"/>
      <c r="G65" s="120"/>
      <c r="H65" s="114"/>
      <c r="I65" s="114"/>
      <c r="J65" s="114"/>
      <c r="K65" s="134">
        <f>SUM(K62:K64)</f>
        <v>8.2199999999998994</v>
      </c>
      <c r="L65" s="114"/>
    </row>
    <row r="66" spans="5:18" ht="18.75" customHeight="1">
      <c r="E66" s="113"/>
      <c r="F66" s="129" t="s">
        <v>50</v>
      </c>
      <c r="G66" s="120">
        <v>2.91</v>
      </c>
      <c r="H66" s="114">
        <f>0.77+0.43+0.06+0.12+0.13+0.02+0.01</f>
        <v>1.5399999999999998</v>
      </c>
      <c r="I66" s="114">
        <f>0.12+0.05+0.23</f>
        <v>0.4</v>
      </c>
      <c r="J66"/>
      <c r="K66" s="114">
        <f>+G66+H66-I66</f>
        <v>4.05</v>
      </c>
      <c r="R66" s="105">
        <f>+H57+H58+H62+H63+H64</f>
        <v>889.68</v>
      </c>
    </row>
    <row r="67" spans="5:18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  <c r="R67" s="105">
        <f>+I57+I62</f>
        <v>623.08000000000004</v>
      </c>
    </row>
    <row r="68" spans="5:18" ht="18.75" customHeight="1" thickBot="1">
      <c r="E68" s="121" t="s">
        <v>73</v>
      </c>
      <c r="H68" s="114"/>
      <c r="I68" s="114"/>
      <c r="J68"/>
      <c r="K68" s="131">
        <f>+K46+K51+K56+K61+K65+K66+K67</f>
        <v>18.029999999999902</v>
      </c>
      <c r="M68" s="105">
        <f>+K51+K66+K67</f>
        <v>4.3699999999999992</v>
      </c>
      <c r="R68" s="105">
        <f>+I58+I63</f>
        <v>201.9</v>
      </c>
    </row>
    <row r="69" spans="5:18" ht="18.75" customHeight="1">
      <c r="E69" s="121" t="s">
        <v>74</v>
      </c>
      <c r="H69" s="114"/>
      <c r="I69" s="114"/>
      <c r="J69"/>
      <c r="K69" s="135"/>
      <c r="M69" s="105"/>
      <c r="R69" s="105">
        <f>+I63+I58</f>
        <v>201.9</v>
      </c>
    </row>
    <row r="70" spans="5:18" ht="15.75" customHeight="1">
      <c r="E70" s="136" t="s">
        <v>75</v>
      </c>
      <c r="G70" s="120">
        <v>158.22</v>
      </c>
      <c r="H70" s="114">
        <f>41.05+1.59+11.97+4.07</f>
        <v>58.68</v>
      </c>
      <c r="J70" s="137"/>
      <c r="K70" s="114">
        <f>+G70-H70-I70-J70</f>
        <v>99.539999999999992</v>
      </c>
      <c r="R70" s="105">
        <f>+K43+K49+K54+K60+K64</f>
        <v>4.590000000000007</v>
      </c>
    </row>
    <row r="71" spans="5:18" ht="15.75" customHeight="1">
      <c r="E71" s="138" t="s">
        <v>63</v>
      </c>
      <c r="G71" s="120">
        <v>6</v>
      </c>
      <c r="H71" s="114">
        <v>3.5</v>
      </c>
      <c r="J71" s="137"/>
      <c r="K71" s="114">
        <f t="shared" ref="K71:K72" si="6">+G71-H71-I71-J71</f>
        <v>2.5</v>
      </c>
      <c r="R71" s="105">
        <f>+R70-1.33</f>
        <v>3.2600000000000069</v>
      </c>
    </row>
    <row r="72" spans="5:18" ht="15.75" customHeight="1" thickBot="1">
      <c r="E72" s="138" t="s">
        <v>76</v>
      </c>
      <c r="G72" s="120">
        <v>2.33</v>
      </c>
      <c r="H72" s="114">
        <v>0</v>
      </c>
      <c r="J72" s="137"/>
      <c r="K72" s="114">
        <f t="shared" si="6"/>
        <v>2.33</v>
      </c>
      <c r="R72" s="105">
        <f>+R71-1.33</f>
        <v>1.9300000000000068</v>
      </c>
    </row>
    <row r="73" spans="5:18" ht="18.75" customHeight="1" thickBot="1">
      <c r="E73" s="136"/>
      <c r="H73" s="114"/>
      <c r="I73" s="114"/>
      <c r="J73"/>
      <c r="K73" s="131">
        <f>SUM(K70:K72)</f>
        <v>104.36999999999999</v>
      </c>
      <c r="M73" s="105"/>
    </row>
    <row r="74" spans="5:18" ht="18.75" customHeight="1">
      <c r="E74" s="121" t="s">
        <v>77</v>
      </c>
      <c r="R74" s="105">
        <f>+I66+I64+I60+I54+I59</f>
        <v>34.26</v>
      </c>
    </row>
    <row r="75" spans="5:18" ht="15.75" customHeight="1">
      <c r="E75" s="136" t="s">
        <v>63</v>
      </c>
      <c r="J75" s="137">
        <v>0</v>
      </c>
      <c r="K75" s="114">
        <f>+K5-J75</f>
        <v>12.600000000000023</v>
      </c>
    </row>
    <row r="76" spans="5:18" ht="18" customHeight="1">
      <c r="E76" s="136" t="s">
        <v>75</v>
      </c>
      <c r="J76" s="105">
        <v>0</v>
      </c>
      <c r="K76" s="114">
        <f>+K6</f>
        <v>1848.72</v>
      </c>
    </row>
    <row r="77" spans="5:18" ht="15.75" customHeight="1">
      <c r="E77" s="136" t="s">
        <v>66</v>
      </c>
      <c r="J77" s="137">
        <v>0</v>
      </c>
      <c r="K77" s="114">
        <f>+K8-J77</f>
        <v>250</v>
      </c>
    </row>
    <row r="78" spans="5:18" ht="15.75" customHeight="1" thickBot="1">
      <c r="E78" s="136" t="s">
        <v>78</v>
      </c>
      <c r="J78" s="137">
        <v>0</v>
      </c>
      <c r="K78" s="114">
        <f>+K15-J78</f>
        <v>111.16</v>
      </c>
    </row>
    <row r="79" spans="5:18" ht="18.75" customHeight="1" thickBot="1">
      <c r="E79" s="121" t="s">
        <v>79</v>
      </c>
      <c r="J79" s="139">
        <f>SUM(J75:J78)</f>
        <v>0</v>
      </c>
      <c r="K79" s="140">
        <f>SUM(K75:K78)</f>
        <v>2222.48</v>
      </c>
    </row>
    <row r="80" spans="5:18" ht="23.25" customHeight="1" thickBot="1">
      <c r="E80" s="121" t="s">
        <v>80</v>
      </c>
      <c r="K80" s="141">
        <f>+K68+K73+K79</f>
        <v>2344.88</v>
      </c>
    </row>
    <row r="81" spans="5:11" ht="18.75" customHeight="1" thickBot="1">
      <c r="E81" s="138" t="s">
        <v>186</v>
      </c>
      <c r="K81" s="142">
        <f>+H20</f>
        <v>2426</v>
      </c>
    </row>
    <row r="82" spans="5:11" ht="23.25" customHeight="1" thickBot="1">
      <c r="E82" s="121" t="s">
        <v>82</v>
      </c>
      <c r="K82" s="143">
        <f>+K81-K80</f>
        <v>81.119999999999891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r:id="rId1"/>
  <headerFooter alignWithMargins="0">
    <oddHeader>&amp;R&amp;P</oddHeader>
    <oddFooter>&amp;Rกงบ. สบท. 9 ต.ค.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7030A0"/>
  </sheetPr>
  <dimension ref="A1:S46"/>
  <sheetViews>
    <sheetView zoomScaleSheetLayoutView="75" workbookViewId="0">
      <selection activeCell="I13" sqref="I13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175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176</v>
      </c>
      <c r="C3" s="149"/>
      <c r="D3" s="149"/>
      <c r="E3" s="149"/>
      <c r="F3" s="149"/>
      <c r="G3" s="149"/>
      <c r="H3" s="149"/>
      <c r="J3" s="150">
        <f>SUM(J4:J7)</f>
        <v>2411.83</v>
      </c>
      <c r="K3" s="150"/>
      <c r="L3" s="149" t="s">
        <v>90</v>
      </c>
    </row>
    <row r="4" spans="1:19">
      <c r="C4" s="146" t="s">
        <v>91</v>
      </c>
      <c r="J4" s="151">
        <v>1.88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2383.4699999999998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22.37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4.1100000000000003</v>
      </c>
      <c r="K7" s="151"/>
      <c r="L7" s="146" t="s">
        <v>90</v>
      </c>
      <c r="N7" s="147" t="s">
        <v>95</v>
      </c>
      <c r="P7" s="152">
        <f>SUM(J6:J7)</f>
        <v>26.48</v>
      </c>
      <c r="Q7" s="153"/>
      <c r="S7" s="173">
        <f>+J4+J6+J7</f>
        <v>28.36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2411.83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2411.37</v>
      </c>
      <c r="K10" s="157"/>
      <c r="L10" s="156" t="s">
        <v>90</v>
      </c>
    </row>
    <row r="11" spans="1:19">
      <c r="D11" s="146" t="s">
        <v>98</v>
      </c>
      <c r="J11" s="151">
        <f>+I29</f>
        <v>2383.04</v>
      </c>
      <c r="K11" s="151"/>
      <c r="L11" s="146" t="s">
        <v>90</v>
      </c>
    </row>
    <row r="12" spans="1:19">
      <c r="D12" s="146" t="s">
        <v>99</v>
      </c>
      <c r="J12" s="151">
        <f>+I40</f>
        <v>28.330000000000005</v>
      </c>
      <c r="K12" s="151"/>
      <c r="L12" s="146" t="s">
        <v>90</v>
      </c>
      <c r="N12" s="147">
        <f>79.47+71.91+5.93-2.01</f>
        <v>155.30000000000001</v>
      </c>
      <c r="S12" s="173">
        <f>+J12+J15</f>
        <v>28.32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0.45999999999983032</v>
      </c>
      <c r="K13" s="157"/>
      <c r="L13" s="156" t="s">
        <v>90</v>
      </c>
      <c r="N13" s="159">
        <f>+J14+J11</f>
        <v>2383.5099999999998</v>
      </c>
    </row>
    <row r="14" spans="1:19">
      <c r="D14" s="146" t="s">
        <v>98</v>
      </c>
      <c r="J14" s="151">
        <f>+J5-I29+0.04</f>
        <v>0.46999999999983627</v>
      </c>
      <c r="K14" s="151"/>
      <c r="L14" s="146" t="s">
        <v>90</v>
      </c>
      <c r="N14" s="147">
        <f>+J15+J12</f>
        <v>28.32</v>
      </c>
    </row>
    <row r="15" spans="1:19">
      <c r="D15" s="146" t="s">
        <v>99</v>
      </c>
      <c r="J15" s="151">
        <f>+J4+J6+J7-J12-0.04</f>
        <v>-1.0000000000005969E-2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177</v>
      </c>
      <c r="J18" s="157">
        <f>+J3</f>
        <v>2411.83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115.58-11.97</f>
        <v>103.61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108.92999999999999</v>
      </c>
      <c r="I27" s="157"/>
    </row>
    <row r="28" spans="2:12">
      <c r="D28" s="156" t="s">
        <v>112</v>
      </c>
      <c r="G28" s="164">
        <v>2273.21</v>
      </c>
      <c r="H28" s="147"/>
      <c r="I28" s="157"/>
    </row>
    <row r="29" spans="2:12">
      <c r="D29" s="146" t="s">
        <v>113</v>
      </c>
      <c r="G29" s="163">
        <v>0.9</v>
      </c>
      <c r="H29" s="165">
        <f>SUM(G28:G29)</f>
        <v>2274.11</v>
      </c>
      <c r="I29" s="157">
        <f>+H27+H29</f>
        <v>2383.04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0.69+11.97-11.97</f>
        <v>0.6899999999999995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v>1.33</v>
      </c>
      <c r="H34" s="147"/>
      <c r="I34" s="157"/>
    </row>
    <row r="35" spans="3:14">
      <c r="D35" s="146" t="s">
        <v>110</v>
      </c>
      <c r="G35" s="163">
        <f>2.63-0.05</f>
        <v>2.58</v>
      </c>
      <c r="H35" s="167">
        <f>SUM(G32:G35)</f>
        <v>4.5999999999999996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v>0</v>
      </c>
      <c r="H37" s="167"/>
      <c r="I37" s="168"/>
      <c r="L37" s="156"/>
    </row>
    <row r="38" spans="3:14">
      <c r="D38" s="146" t="s">
        <v>115</v>
      </c>
      <c r="G38" s="164">
        <v>13.88</v>
      </c>
      <c r="H38" s="167"/>
      <c r="I38" s="168"/>
      <c r="L38" s="156"/>
    </row>
    <row r="39" spans="3:14">
      <c r="D39" s="146" t="s">
        <v>116</v>
      </c>
      <c r="G39" s="164">
        <v>8.32</v>
      </c>
      <c r="H39" s="167"/>
      <c r="I39" s="168"/>
      <c r="L39" s="156"/>
    </row>
    <row r="40" spans="3:14">
      <c r="D40" s="146" t="s">
        <v>110</v>
      </c>
      <c r="G40" s="163">
        <v>1.53</v>
      </c>
      <c r="H40" s="165">
        <f>SUM(G37:G40)</f>
        <v>23.730000000000004</v>
      </c>
      <c r="I40" s="168">
        <f>+H35+H40</f>
        <v>28.330000000000005</v>
      </c>
      <c r="J40" s="170">
        <f>+I29+I40</f>
        <v>2411.37</v>
      </c>
      <c r="L40" s="156"/>
    </row>
    <row r="41" spans="3:14" ht="21.75" thickBot="1">
      <c r="C41" s="156" t="s">
        <v>178</v>
      </c>
      <c r="I41" s="171"/>
      <c r="J41" s="172">
        <f>+J18-J40</f>
        <v>0.46000000000003638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4.1100000000000003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ก.ย. 2557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7030A0"/>
  </sheetPr>
  <dimension ref="A1:S109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H78" sqref="H78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167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168</v>
      </c>
      <c r="E3" s="1" t="s">
        <v>5</v>
      </c>
      <c r="F3" s="2" t="s">
        <v>9</v>
      </c>
      <c r="G3" s="3" t="s">
        <v>7</v>
      </c>
      <c r="H3" s="5" t="s">
        <v>169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768.84</v>
      </c>
      <c r="H4" s="16">
        <f>SUM(H5:H8)</f>
        <v>11835.460000000001</v>
      </c>
      <c r="I4" s="17">
        <f>SUM(I5:I8)</f>
        <v>2900</v>
      </c>
      <c r="J4" s="18">
        <f>SUM(J5:J8)</f>
        <v>738.21</v>
      </c>
      <c r="K4" s="19">
        <f>SUM(K5:K8)</f>
        <v>2161.79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502.11+73.38+33.95</f>
        <v>609.44000000000005</v>
      </c>
      <c r="H5" s="27">
        <f>+F5+G5</f>
        <v>8431.27</v>
      </c>
      <c r="I5" s="28">
        <v>650</v>
      </c>
      <c r="J5" s="29">
        <f>622.13+11.27</f>
        <v>633.4</v>
      </c>
      <c r="K5" s="30">
        <f>+I5-J5</f>
        <v>16.600000000000023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131.11+11.97+16.32</f>
        <v>159.4</v>
      </c>
      <c r="H6" s="27">
        <f>+F6+G6</f>
        <v>3119.59</v>
      </c>
      <c r="I6" s="33">
        <v>2000</v>
      </c>
      <c r="J6" s="34">
        <f>88.49+16.32</f>
        <v>104.81</v>
      </c>
      <c r="K6" s="35">
        <f>+I6-J6</f>
        <v>1895.19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30.240000000000002</v>
      </c>
      <c r="H9" s="16">
        <f>SUM(H10:H18)</f>
        <v>2774.8199999999997</v>
      </c>
      <c r="I9" s="17">
        <f>SUM(I15:I16)</f>
        <v>150</v>
      </c>
      <c r="J9" s="50">
        <f>SUM(J15:J16)</f>
        <v>38.58</v>
      </c>
      <c r="K9" s="51">
        <f>SUM(K15:K16)</f>
        <v>111.42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913.08999999999992</v>
      </c>
      <c r="D10" s="24">
        <f>SUM(O11:O17)</f>
        <v>9948.880000000001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27.15</v>
      </c>
      <c r="D11" s="58">
        <f>+B11+C11</f>
        <v>703.70999999999992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703.70999999999992</v>
      </c>
    </row>
    <row r="12" spans="1:15" s="20" customFormat="1" ht="23.25">
      <c r="A12" s="21" t="s">
        <v>29</v>
      </c>
      <c r="B12" s="31">
        <v>679.13</v>
      </c>
      <c r="C12" s="32">
        <v>44.91</v>
      </c>
      <c r="D12" s="58">
        <f t="shared" ref="D12:D17" si="2">+B12+C12</f>
        <v>724.04</v>
      </c>
      <c r="E12" s="21" t="s">
        <v>30</v>
      </c>
      <c r="F12" s="31">
        <v>83.69</v>
      </c>
      <c r="G12" s="32">
        <v>2.76</v>
      </c>
      <c r="H12" s="27">
        <f t="shared" si="0"/>
        <v>86.45</v>
      </c>
      <c r="I12" s="33"/>
      <c r="J12" s="43">
        <v>0</v>
      </c>
      <c r="K12" s="44">
        <f>+I12-J12</f>
        <v>0</v>
      </c>
      <c r="L12" s="57"/>
      <c r="O12" s="59">
        <f t="shared" si="1"/>
        <v>724.04</v>
      </c>
    </row>
    <row r="13" spans="1:15" s="20" customFormat="1" ht="23.25">
      <c r="A13" s="21" t="s">
        <v>31</v>
      </c>
      <c r="B13" s="31">
        <v>256.90000000000003</v>
      </c>
      <c r="C13" s="32">
        <v>10.71</v>
      </c>
      <c r="D13" s="58">
        <f t="shared" si="2"/>
        <v>267.61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267.61</v>
      </c>
    </row>
    <row r="14" spans="1:15" s="20" customFormat="1" ht="23.25">
      <c r="A14" s="21" t="s">
        <v>33</v>
      </c>
      <c r="B14" s="31">
        <v>6054.08</v>
      </c>
      <c r="C14" s="32">
        <v>698.17</v>
      </c>
      <c r="D14" s="58">
        <f t="shared" si="2"/>
        <v>6752.25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6752.25</v>
      </c>
    </row>
    <row r="15" spans="1:15" s="20" customFormat="1" ht="23.25">
      <c r="A15" s="21" t="s">
        <v>35</v>
      </c>
      <c r="B15" s="60">
        <v>84.41</v>
      </c>
      <c r="C15" s="32">
        <v>2.54</v>
      </c>
      <c r="D15" s="58">
        <f t="shared" si="2"/>
        <v>86.95</v>
      </c>
      <c r="E15" s="21" t="s">
        <v>36</v>
      </c>
      <c r="F15" s="31">
        <v>1011.25</v>
      </c>
      <c r="G15" s="32">
        <f>21.31+2.46+3.71</f>
        <v>27.48</v>
      </c>
      <c r="H15" s="27">
        <f t="shared" si="0"/>
        <v>1038.73</v>
      </c>
      <c r="I15" s="33">
        <v>150</v>
      </c>
      <c r="J15" s="61">
        <f>37.47+0.72+0.39</f>
        <v>38.58</v>
      </c>
      <c r="K15" s="35">
        <f>+I15-J15-J16</f>
        <v>111.42</v>
      </c>
      <c r="L15" s="57"/>
      <c r="O15" s="59">
        <f t="shared" si="1"/>
        <v>86.95</v>
      </c>
    </row>
    <row r="16" spans="1:15" s="20" customFormat="1" ht="23.25">
      <c r="A16" s="21" t="s">
        <v>37</v>
      </c>
      <c r="B16" s="62">
        <v>440.08</v>
      </c>
      <c r="C16" s="32">
        <v>46.78</v>
      </c>
      <c r="D16" s="58">
        <f t="shared" si="2"/>
        <v>486.86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486.86</v>
      </c>
    </row>
    <row r="17" spans="1:18" s="20" customFormat="1" ht="23.25">
      <c r="A17" s="21" t="s">
        <v>39</v>
      </c>
      <c r="B17" s="65">
        <v>844.63</v>
      </c>
      <c r="C17" s="32">
        <v>82.83</v>
      </c>
      <c r="D17" s="58">
        <f t="shared" si="2"/>
        <v>927.46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927.46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799.08</v>
      </c>
      <c r="H19" s="83">
        <f>+H4+H9</f>
        <v>14610.28</v>
      </c>
      <c r="I19" s="19">
        <f>+I4+I9</f>
        <v>3050</v>
      </c>
      <c r="J19" s="84">
        <f>+J4+J9</f>
        <v>776.79000000000008</v>
      </c>
      <c r="K19" s="51">
        <f>+K4+K9</f>
        <v>2273.21</v>
      </c>
      <c r="M19" s="20">
        <f>F20+G20</f>
        <v>2411.8299999999995</v>
      </c>
      <c r="O19" s="85"/>
    </row>
    <row r="20" spans="1:18" s="20" customFormat="1" ht="23.25">
      <c r="A20" s="86"/>
      <c r="B20" s="74"/>
      <c r="C20" s="71"/>
      <c r="D20" s="80"/>
      <c r="E20" s="87" t="s">
        <v>170</v>
      </c>
      <c r="F20" s="88">
        <f>B22-F19</f>
        <v>2297.8199999999997</v>
      </c>
      <c r="G20" s="89">
        <f>C22-G19</f>
        <v>114.00999999999988</v>
      </c>
      <c r="H20" s="90">
        <f>+D22-H19</f>
        <v>2411.83</v>
      </c>
      <c r="I20" s="225" t="s">
        <v>171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172</v>
      </c>
      <c r="F21" s="95"/>
      <c r="G21" s="96"/>
      <c r="H21" s="97"/>
      <c r="I21" s="214" t="s">
        <v>173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-2411.83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913.08999999999992</v>
      </c>
      <c r="D22" s="100">
        <f>SUM(D4:D10)</f>
        <v>17022.11</v>
      </c>
      <c r="E22" s="101" t="s">
        <v>46</v>
      </c>
      <c r="F22" s="102">
        <f>SUM(F19:F20)</f>
        <v>16109.02</v>
      </c>
      <c r="G22" s="103">
        <f>SUM(G19:G20)</f>
        <v>913.08999999999992</v>
      </c>
      <c r="H22" s="102">
        <f>+H19+H20</f>
        <v>17022.11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7"/>
      <c r="K25" s="177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2411.83</v>
      </c>
      <c r="J26" s="111">
        <f>+F39</f>
        <v>29.719999999999878</v>
      </c>
      <c r="K26" s="112">
        <f>+I26-J26</f>
        <v>2382.11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4.2699999999999996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1.999999999999999E-2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1.3099999999999998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23.069999999999879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29.719999999999878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9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9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9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  <c r="R51" s="105">
        <f>+G43+G49+G54+G60</f>
        <v>2.0499999999999998</v>
      </c>
    </row>
    <row r="52" spans="5:19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9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 t="shared" ref="K53:K55" si="3">+G53+H53-I53-J53</f>
        <v>0</v>
      </c>
    </row>
    <row r="54" spans="5:19" ht="15.75" customHeight="1" thickBot="1">
      <c r="E54" s="113"/>
      <c r="F54" t="s">
        <v>66</v>
      </c>
      <c r="G54" s="120">
        <v>0.15</v>
      </c>
      <c r="H54" s="114">
        <v>0</v>
      </c>
      <c r="I54" s="114">
        <v>0.13</v>
      </c>
      <c r="J54" s="114">
        <v>0</v>
      </c>
      <c r="K54" s="114">
        <f t="shared" si="3"/>
        <v>1.999999999999999E-2</v>
      </c>
    </row>
    <row r="55" spans="5:19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 t="shared" si="3"/>
        <v>0</v>
      </c>
      <c r="L55" s="114">
        <f>SUM(K52:K55)</f>
        <v>1.999999999999999E-2</v>
      </c>
      <c r="M55" s="105">
        <f>SUM(K52:K55)</f>
        <v>1.999999999999999E-2</v>
      </c>
    </row>
    <row r="56" spans="5:19" ht="18.75" customHeight="1" thickBot="1">
      <c r="E56" s="113"/>
      <c r="F56" s="128"/>
      <c r="G56" s="120"/>
      <c r="H56" s="114"/>
      <c r="I56" s="114"/>
      <c r="J56" s="114"/>
      <c r="K56" s="131">
        <f>SUM(K52:K55)</f>
        <v>1.999999999999999E-2</v>
      </c>
      <c r="L56" s="114"/>
    </row>
    <row r="57" spans="5:19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9" ht="18.75" customHeight="1">
      <c r="E58" s="113"/>
      <c r="F58" t="s">
        <v>64</v>
      </c>
      <c r="G58" s="120">
        <v>4.95</v>
      </c>
      <c r="H58" s="114">
        <f>41.05+1.59+11.97-0.02</f>
        <v>54.589999999999996</v>
      </c>
      <c r="I58" s="114">
        <f>41.05+1.59+11.97-0.02</f>
        <v>54.589999999999996</v>
      </c>
      <c r="J58" s="114">
        <v>4.95</v>
      </c>
      <c r="K58" s="114">
        <f t="shared" ref="K58" si="4">+G58+H58-I58-J58</f>
        <v>0</v>
      </c>
      <c r="L58" s="114"/>
    </row>
    <row r="59" spans="5:19" ht="18.75" customHeight="1">
      <c r="E59" s="113"/>
      <c r="F59" s="133" t="s">
        <v>71</v>
      </c>
      <c r="G59" s="120">
        <v>0.33</v>
      </c>
      <c r="H59" s="114">
        <v>0</v>
      </c>
      <c r="I59" s="114">
        <f>0.13+0.18</f>
        <v>0.31</v>
      </c>
      <c r="J59" s="114">
        <v>0</v>
      </c>
      <c r="K59" s="114">
        <f>+G59+H59-I59-J59</f>
        <v>2.0000000000000018E-2</v>
      </c>
      <c r="L59" s="114"/>
    </row>
    <row r="60" spans="5:19" ht="18.75" customHeight="1" thickBot="1">
      <c r="E60" s="113"/>
      <c r="F60" t="s">
        <v>66</v>
      </c>
      <c r="G60" s="120">
        <f>1.9-0.08+0.03</f>
        <v>1.8499999999999999</v>
      </c>
      <c r="H60" s="114">
        <v>0</v>
      </c>
      <c r="I60" s="114">
        <f>0.37+0.01+0.02</f>
        <v>0.4</v>
      </c>
      <c r="J60" s="105">
        <f>0.15+0.01</f>
        <v>0.16</v>
      </c>
      <c r="K60" s="114">
        <f>+G60+H60-I60-J60</f>
        <v>1.2899999999999998</v>
      </c>
      <c r="L60" s="114"/>
      <c r="R60" s="105">
        <f>+K43+K49+K54+K60</f>
        <v>1.3599999999999999</v>
      </c>
    </row>
    <row r="61" spans="5:19" ht="18.75" customHeight="1" thickBot="1">
      <c r="E61" s="113"/>
      <c r="G61" s="120"/>
      <c r="H61" s="114"/>
      <c r="I61" s="114"/>
      <c r="K61" s="134">
        <f>SUM(K57:K60)</f>
        <v>1.3099999999999998</v>
      </c>
      <c r="L61" s="114"/>
    </row>
    <row r="62" spans="5:19" ht="18.75" customHeight="1">
      <c r="E62" s="121" t="s">
        <v>72</v>
      </c>
      <c r="F62" t="s">
        <v>63</v>
      </c>
      <c r="G62" s="120">
        <v>0</v>
      </c>
      <c r="H62" s="114">
        <f>550.1+29.5+42.53+11.27</f>
        <v>633.4</v>
      </c>
      <c r="I62" s="114">
        <f>412.72+85.59+73.38+33.95</f>
        <v>605.6400000000001</v>
      </c>
      <c r="J62" s="114">
        <f>0.04+10.06+0.36+3.43</f>
        <v>13.889999999999999</v>
      </c>
      <c r="K62" s="114">
        <f>+G62+H62-I62-J62</f>
        <v>13.869999999999878</v>
      </c>
      <c r="L62" s="114"/>
      <c r="Q62" s="125" t="s">
        <v>61</v>
      </c>
      <c r="R62" s="105">
        <f>+J58+J60+J62+J64</f>
        <v>19.14</v>
      </c>
    </row>
    <row r="63" spans="5:19" ht="18.75" customHeight="1">
      <c r="E63" s="113"/>
      <c r="F63" t="s">
        <v>64</v>
      </c>
      <c r="G63" s="120">
        <v>0</v>
      </c>
      <c r="H63" s="114">
        <f>0.34+2.35+14.25+71.55+16.32</f>
        <v>104.81</v>
      </c>
      <c r="I63" s="114">
        <f>16.94+71.55+16.32</f>
        <v>104.81</v>
      </c>
      <c r="J63" s="114">
        <v>0</v>
      </c>
      <c r="K63" s="114">
        <f t="shared" ref="K63" si="5">+G63+H63-I63-J63</f>
        <v>0</v>
      </c>
      <c r="L63" s="114"/>
      <c r="Q63" s="125" t="s">
        <v>60</v>
      </c>
      <c r="R63" s="105">
        <f>+I54+I60+I64</f>
        <v>29.77</v>
      </c>
    </row>
    <row r="64" spans="5:19" ht="18.75" customHeight="1" thickBot="1">
      <c r="E64" s="113"/>
      <c r="F64" t="s">
        <v>66</v>
      </c>
      <c r="G64" s="120">
        <v>0</v>
      </c>
      <c r="H64" s="114">
        <f>37.03+0.44+0.72+0.39</f>
        <v>38.58</v>
      </c>
      <c r="I64" s="114">
        <f>20.63+2.42+0.01+2.46+3.72</f>
        <v>29.24</v>
      </c>
      <c r="J64" s="105">
        <f>0.01+0.01+0.12</f>
        <v>0.13999999999999999</v>
      </c>
      <c r="K64" s="114">
        <f>+G64+H64-I64-J64</f>
        <v>9.1999999999999993</v>
      </c>
      <c r="L64" s="114"/>
      <c r="R64" s="105">
        <f>+R63+I66</f>
        <v>29.94</v>
      </c>
      <c r="S64" s="105">
        <f>+I54+I59+I60+I64+I66</f>
        <v>30.25</v>
      </c>
    </row>
    <row r="65" spans="5:18" ht="18.75" customHeight="1" thickBot="1">
      <c r="E65" s="113"/>
      <c r="G65" s="120"/>
      <c r="H65" s="114"/>
      <c r="I65" s="114"/>
      <c r="J65" s="114"/>
      <c r="K65" s="134">
        <f>SUM(K62:K64)</f>
        <v>23.069999999999879</v>
      </c>
      <c r="L65" s="114"/>
    </row>
    <row r="66" spans="5:18" ht="18.75" customHeight="1">
      <c r="E66" s="113"/>
      <c r="F66" s="129" t="s">
        <v>50</v>
      </c>
      <c r="G66" s="120">
        <v>2.91</v>
      </c>
      <c r="H66" s="114">
        <f>0.77+0.43+0.06+0.12+0.13+0.02</f>
        <v>1.5299999999999998</v>
      </c>
      <c r="I66" s="114">
        <f>0.12+0.05</f>
        <v>0.16999999999999998</v>
      </c>
      <c r="J66"/>
      <c r="K66" s="114">
        <f>+G66+H66-I66</f>
        <v>4.2699999999999996</v>
      </c>
      <c r="R66" s="105">
        <f>+H57+H58+H62+H63+H64</f>
        <v>834.88</v>
      </c>
    </row>
    <row r="67" spans="5:18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  <c r="R67" s="105">
        <f>+I57+I62</f>
        <v>609.44000000000005</v>
      </c>
    </row>
    <row r="68" spans="5:18" ht="18.75" customHeight="1" thickBot="1">
      <c r="E68" s="121" t="s">
        <v>73</v>
      </c>
      <c r="H68" s="114"/>
      <c r="I68" s="114"/>
      <c r="J68"/>
      <c r="K68" s="131">
        <f>+K46+K51+K56+K61+K65+K66+K67</f>
        <v>29.719999999999878</v>
      </c>
      <c r="M68" s="105">
        <f>+K51+K66+K67</f>
        <v>5.2799999999999994</v>
      </c>
      <c r="R68" s="105">
        <f>+I58+I63</f>
        <v>159.4</v>
      </c>
    </row>
    <row r="69" spans="5:18" ht="18.75" customHeight="1">
      <c r="E69" s="121" t="s">
        <v>74</v>
      </c>
      <c r="H69" s="114"/>
      <c r="I69" s="114"/>
      <c r="J69"/>
      <c r="K69" s="135"/>
      <c r="M69" s="105"/>
      <c r="R69" s="105">
        <f>+I63+I58</f>
        <v>159.4</v>
      </c>
    </row>
    <row r="70" spans="5:18" ht="15.75" customHeight="1">
      <c r="E70" s="136" t="s">
        <v>75</v>
      </c>
      <c r="G70" s="120">
        <v>158.22</v>
      </c>
      <c r="H70" s="114">
        <f>41.05+1.59+11.97</f>
        <v>54.61</v>
      </c>
      <c r="J70" s="137"/>
      <c r="K70" s="114">
        <f>+G70-H70-I70-J70</f>
        <v>103.61</v>
      </c>
      <c r="R70" s="105">
        <f>+K43+K49+K54+K60+K64</f>
        <v>10.559999999999999</v>
      </c>
    </row>
    <row r="71" spans="5:18" ht="15.75" customHeight="1">
      <c r="E71" s="138" t="s">
        <v>63</v>
      </c>
      <c r="G71" s="120">
        <v>6</v>
      </c>
      <c r="H71" s="114">
        <v>3.5</v>
      </c>
      <c r="J71" s="137"/>
      <c r="K71" s="114">
        <f t="shared" ref="K71:K72" si="6">+G71-H71-I71-J71</f>
        <v>2.5</v>
      </c>
      <c r="R71" s="105">
        <f>+R70-1.33</f>
        <v>9.2299999999999986</v>
      </c>
    </row>
    <row r="72" spans="5:18" ht="15.75" customHeight="1" thickBot="1">
      <c r="E72" s="138" t="s">
        <v>76</v>
      </c>
      <c r="G72" s="120">
        <v>2.33</v>
      </c>
      <c r="H72" s="114">
        <v>0</v>
      </c>
      <c r="J72" s="137"/>
      <c r="K72" s="114">
        <f t="shared" si="6"/>
        <v>2.33</v>
      </c>
      <c r="R72" s="105">
        <f>+R71-1.33</f>
        <v>7.8999999999999986</v>
      </c>
    </row>
    <row r="73" spans="5:18" ht="18.75" customHeight="1" thickBot="1">
      <c r="E73" s="136"/>
      <c r="H73" s="114"/>
      <c r="I73" s="114"/>
      <c r="J73"/>
      <c r="K73" s="131">
        <f>SUM(K70:K72)</f>
        <v>108.44</v>
      </c>
      <c r="M73" s="105"/>
    </row>
    <row r="74" spans="5:18" ht="18.75" customHeight="1">
      <c r="E74" s="121" t="s">
        <v>77</v>
      </c>
      <c r="R74" s="105">
        <f>+I66+I64+I60+I54+I59</f>
        <v>30.249999999999996</v>
      </c>
    </row>
    <row r="75" spans="5:18" ht="15.75" customHeight="1">
      <c r="E75" s="136" t="s">
        <v>63</v>
      </c>
      <c r="J75" s="137">
        <v>0</v>
      </c>
      <c r="K75" s="114">
        <f>+K5-J75</f>
        <v>16.600000000000023</v>
      </c>
    </row>
    <row r="76" spans="5:18" ht="18" customHeight="1">
      <c r="E76" s="136" t="s">
        <v>75</v>
      </c>
      <c r="J76" s="105">
        <v>0</v>
      </c>
      <c r="K76" s="114">
        <f>+K6</f>
        <v>1895.19</v>
      </c>
    </row>
    <row r="77" spans="5:18" ht="15.75" customHeight="1">
      <c r="E77" s="136" t="s">
        <v>66</v>
      </c>
      <c r="J77" s="137">
        <v>0</v>
      </c>
      <c r="K77" s="114">
        <f>+K8-J77</f>
        <v>250</v>
      </c>
    </row>
    <row r="78" spans="5:18" ht="15.75" customHeight="1" thickBot="1">
      <c r="E78" s="136" t="s">
        <v>78</v>
      </c>
      <c r="J78" s="137">
        <v>0</v>
      </c>
      <c r="K78" s="114">
        <f>+K15-J78</f>
        <v>111.42</v>
      </c>
    </row>
    <row r="79" spans="5:18" ht="18.75" customHeight="1" thickBot="1">
      <c r="E79" s="121" t="s">
        <v>79</v>
      </c>
      <c r="J79" s="139">
        <f>SUM(J75:J78)</f>
        <v>0</v>
      </c>
      <c r="K79" s="140">
        <f>SUM(K75:K78)</f>
        <v>2273.21</v>
      </c>
    </row>
    <row r="80" spans="5:18" ht="23.25" customHeight="1" thickBot="1">
      <c r="E80" s="121" t="s">
        <v>80</v>
      </c>
      <c r="K80" s="141">
        <f>+K68+K73+K79</f>
        <v>2411.37</v>
      </c>
    </row>
    <row r="81" spans="5:11" ht="18.75" customHeight="1" thickBot="1">
      <c r="E81" s="138" t="s">
        <v>174</v>
      </c>
      <c r="K81" s="142">
        <f>+H20</f>
        <v>2411.83</v>
      </c>
    </row>
    <row r="82" spans="5:11" ht="23.25" customHeight="1" thickBot="1">
      <c r="E82" s="121" t="s">
        <v>82</v>
      </c>
      <c r="K82" s="143">
        <f>+K81-K80</f>
        <v>0.46000000000003638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ก.ย.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A1:S46"/>
  <sheetViews>
    <sheetView topLeftCell="A25" zoomScaleSheetLayoutView="75" workbookViewId="0">
      <selection activeCell="G12" sqref="G12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163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164</v>
      </c>
      <c r="C3" s="149"/>
      <c r="D3" s="149"/>
      <c r="E3" s="149"/>
      <c r="F3" s="149"/>
      <c r="G3" s="149"/>
      <c r="H3" s="149"/>
      <c r="J3" s="150">
        <f>SUM(J4:J7)</f>
        <v>2407.1400000000003</v>
      </c>
      <c r="K3" s="150"/>
      <c r="L3" s="149" t="s">
        <v>90</v>
      </c>
    </row>
    <row r="4" spans="1:19">
      <c r="C4" s="146" t="s">
        <v>91</v>
      </c>
      <c r="J4" s="151">
        <v>2.91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2322.0700000000002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78.069999999999993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4.09</v>
      </c>
      <c r="K7" s="151"/>
      <c r="L7" s="146" t="s">
        <v>90</v>
      </c>
      <c r="N7" s="147" t="s">
        <v>95</v>
      </c>
      <c r="P7" s="152">
        <f>SUM(J6:J7)</f>
        <v>82.16</v>
      </c>
      <c r="Q7" s="153"/>
      <c r="S7" s="173">
        <f>+J4+J6+J7</f>
        <v>85.07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2407.1400000000003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2468.89</v>
      </c>
      <c r="K10" s="157"/>
      <c r="L10" s="156" t="s">
        <v>90</v>
      </c>
    </row>
    <row r="11" spans="1:19">
      <c r="D11" s="146" t="s">
        <v>98</v>
      </c>
      <c r="J11" s="151">
        <f>+I29</f>
        <v>2383.8599999999997</v>
      </c>
      <c r="K11" s="151"/>
      <c r="L11" s="146" t="s">
        <v>90</v>
      </c>
    </row>
    <row r="12" spans="1:19">
      <c r="D12" s="146" t="s">
        <v>99</v>
      </c>
      <c r="J12" s="151">
        <f>+I40</f>
        <v>85.030000000000015</v>
      </c>
      <c r="K12" s="151"/>
      <c r="L12" s="146" t="s">
        <v>90</v>
      </c>
      <c r="N12" s="147">
        <f>79.47+71.91+5.93-2.01</f>
        <v>155.30000000000001</v>
      </c>
      <c r="S12" s="173">
        <f>+J12+J15</f>
        <v>85.029999999999987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-61.749999999999531</v>
      </c>
      <c r="K13" s="157"/>
      <c r="L13" s="156" t="s">
        <v>90</v>
      </c>
      <c r="N13" s="159">
        <f>+J14+J11</f>
        <v>2322.11</v>
      </c>
    </row>
    <row r="14" spans="1:19">
      <c r="D14" s="146" t="s">
        <v>98</v>
      </c>
      <c r="J14" s="151">
        <f>+J5-I29+0.04</f>
        <v>-61.74999999999951</v>
      </c>
      <c r="K14" s="151"/>
      <c r="L14" s="146" t="s">
        <v>90</v>
      </c>
      <c r="N14" s="147">
        <f>+J15+J12</f>
        <v>85.029999999999987</v>
      </c>
    </row>
    <row r="15" spans="1:19">
      <c r="D15" s="146" t="s">
        <v>99</v>
      </c>
      <c r="J15" s="151">
        <f>+J4+J6+J7-J12-0.04</f>
        <v>-2.2169766022983595E-14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165</v>
      </c>
      <c r="J18" s="157">
        <f>+J3</f>
        <v>2407.1400000000003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115.58-11.97</f>
        <v>103.61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108.92999999999999</v>
      </c>
      <c r="I27" s="157"/>
    </row>
    <row r="28" spans="2:12">
      <c r="D28" s="156" t="s">
        <v>112</v>
      </c>
      <c r="G28" s="164">
        <f>2301.91-16.32-11.27-0.72</f>
        <v>2273.6</v>
      </c>
      <c r="H28" s="147"/>
      <c r="I28" s="157"/>
    </row>
    <row r="29" spans="2:12">
      <c r="D29" s="146" t="s">
        <v>113</v>
      </c>
      <c r="G29" s="163">
        <f>1.73-0.4</f>
        <v>1.33</v>
      </c>
      <c r="H29" s="165">
        <f>SUM(G28:G29)</f>
        <v>2274.9299999999998</v>
      </c>
      <c r="I29" s="157">
        <f>+H27+H29</f>
        <v>2383.8599999999997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0.69+11.97-11.97</f>
        <v>0.6899999999999995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v>1.33</v>
      </c>
      <c r="H34" s="147"/>
      <c r="I34" s="157"/>
    </row>
    <row r="35" spans="3:14">
      <c r="D35" s="146" t="s">
        <v>110</v>
      </c>
      <c r="G35" s="163">
        <f>2.63-0.05</f>
        <v>2.58</v>
      </c>
      <c r="H35" s="167">
        <f>SUM(G32:G35)</f>
        <v>4.5999999999999996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v>16.32</v>
      </c>
      <c r="H37" s="167"/>
      <c r="I37" s="168"/>
      <c r="L37" s="156"/>
    </row>
    <row r="38" spans="3:14">
      <c r="D38" s="146" t="s">
        <v>115</v>
      </c>
      <c r="G38" s="164">
        <f>113.73+11.27-73.38-0.36</f>
        <v>51.260000000000005</v>
      </c>
      <c r="H38" s="167"/>
      <c r="I38" s="168"/>
      <c r="L38" s="156"/>
    </row>
    <row r="39" spans="3:14">
      <c r="D39" s="146" t="s">
        <v>116</v>
      </c>
      <c r="G39" s="164">
        <f>12.69+0.72-2.46+0.4-0.01</f>
        <v>11.34</v>
      </c>
      <c r="H39" s="167"/>
      <c r="I39" s="168"/>
      <c r="L39" s="156"/>
    </row>
    <row r="40" spans="3:14">
      <c r="D40" s="146" t="s">
        <v>110</v>
      </c>
      <c r="G40" s="163">
        <f>1.38+0.13</f>
        <v>1.5099999999999998</v>
      </c>
      <c r="H40" s="165">
        <f>SUM(G37:G40)</f>
        <v>80.430000000000021</v>
      </c>
      <c r="I40" s="168">
        <f>+H35+H40</f>
        <v>85.030000000000015</v>
      </c>
      <c r="J40" s="170">
        <f>+I29+I40</f>
        <v>2468.89</v>
      </c>
      <c r="L40" s="156"/>
    </row>
    <row r="41" spans="3:14" ht="21.75" thickBot="1">
      <c r="C41" s="156" t="s">
        <v>166</v>
      </c>
      <c r="I41" s="171"/>
      <c r="J41" s="172">
        <f>+J18-J40</f>
        <v>-61.749999999999545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4.09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8 ส.ค. 2557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A1:S109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E62" sqref="E62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155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156</v>
      </c>
      <c r="E3" s="1" t="s">
        <v>5</v>
      </c>
      <c r="F3" s="2" t="s">
        <v>9</v>
      </c>
      <c r="G3" s="3" t="s">
        <v>7</v>
      </c>
      <c r="H3" s="5" t="s">
        <v>157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718.57</v>
      </c>
      <c r="H4" s="16">
        <f>SUM(H5:H8)</f>
        <v>11785.19</v>
      </c>
      <c r="I4" s="17">
        <f>SUM(I5:I8)</f>
        <v>2900</v>
      </c>
      <c r="J4" s="18">
        <f>SUM(J5:J8)</f>
        <v>738.21</v>
      </c>
      <c r="K4" s="19">
        <f>SUM(K5:K8)</f>
        <v>2161.79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502.11+73.38</f>
        <v>575.49</v>
      </c>
      <c r="H5" s="27">
        <f>+F5+G5</f>
        <v>8397.32</v>
      </c>
      <c r="I5" s="28">
        <v>650</v>
      </c>
      <c r="J5" s="29">
        <f>622.13+11.27</f>
        <v>633.4</v>
      </c>
      <c r="K5" s="30">
        <f>+I5-J5</f>
        <v>16.600000000000023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131.11+11.97</f>
        <v>143.08000000000001</v>
      </c>
      <c r="H6" s="27">
        <f>+F6+G6</f>
        <v>3103.27</v>
      </c>
      <c r="I6" s="33">
        <v>2000</v>
      </c>
      <c r="J6" s="34">
        <f>88.49+16.32</f>
        <v>104.81</v>
      </c>
      <c r="K6" s="35">
        <f>+I6-J6</f>
        <v>1895.19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26.53</v>
      </c>
      <c r="H9" s="16">
        <f>SUM(H10:H18)</f>
        <v>2771.1099999999997</v>
      </c>
      <c r="I9" s="17">
        <f>SUM(I15:I16)</f>
        <v>150</v>
      </c>
      <c r="J9" s="50">
        <f>SUM(J15:J16)</f>
        <v>38.19</v>
      </c>
      <c r="K9" s="51">
        <f>SUM(K15:K16)</f>
        <v>111.81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854.42000000000007</v>
      </c>
      <c r="D10" s="24">
        <f>SUM(O11:O17)</f>
        <v>9890.2099999999991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25.4</v>
      </c>
      <c r="D11" s="58">
        <f>+B11+C11</f>
        <v>701.95999999999992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701.95999999999992</v>
      </c>
    </row>
    <row r="12" spans="1:15" s="20" customFormat="1" ht="23.25">
      <c r="A12" s="21" t="s">
        <v>29</v>
      </c>
      <c r="B12" s="31">
        <v>679.13</v>
      </c>
      <c r="C12" s="32">
        <v>40.86</v>
      </c>
      <c r="D12" s="58">
        <f t="shared" ref="D12:D17" si="2">+B12+C12</f>
        <v>719.99</v>
      </c>
      <c r="E12" s="21" t="s">
        <v>30</v>
      </c>
      <c r="F12" s="31">
        <v>83.69</v>
      </c>
      <c r="G12" s="32">
        <v>2.76</v>
      </c>
      <c r="H12" s="27">
        <f t="shared" si="0"/>
        <v>86.45</v>
      </c>
      <c r="I12" s="33"/>
      <c r="J12" s="43">
        <v>0</v>
      </c>
      <c r="K12" s="44">
        <f>+I12-J12</f>
        <v>0</v>
      </c>
      <c r="L12" s="57"/>
      <c r="O12" s="59">
        <f t="shared" si="1"/>
        <v>719.99</v>
      </c>
    </row>
    <row r="13" spans="1:15" s="20" customFormat="1" ht="23.25">
      <c r="A13" s="21" t="s">
        <v>31</v>
      </c>
      <c r="B13" s="31">
        <v>256.90000000000003</v>
      </c>
      <c r="C13" s="32">
        <v>9.68</v>
      </c>
      <c r="D13" s="58">
        <f t="shared" si="2"/>
        <v>266.58000000000004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266.58000000000004</v>
      </c>
    </row>
    <row r="14" spans="1:15" s="20" customFormat="1" ht="23.25">
      <c r="A14" s="21" t="s">
        <v>33</v>
      </c>
      <c r="B14" s="31">
        <v>6054.08</v>
      </c>
      <c r="C14" s="32">
        <v>656.23</v>
      </c>
      <c r="D14" s="58">
        <f t="shared" si="2"/>
        <v>6710.3099999999995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6710.3099999999995</v>
      </c>
    </row>
    <row r="15" spans="1:15" s="20" customFormat="1" ht="23.25">
      <c r="A15" s="21" t="s">
        <v>35</v>
      </c>
      <c r="B15" s="60">
        <v>84.41</v>
      </c>
      <c r="C15" s="32">
        <v>2.44</v>
      </c>
      <c r="D15" s="58">
        <f t="shared" si="2"/>
        <v>86.85</v>
      </c>
      <c r="E15" s="21" t="s">
        <v>36</v>
      </c>
      <c r="F15" s="31">
        <v>1011.25</v>
      </c>
      <c r="G15" s="32">
        <f>21.31+2.46</f>
        <v>23.77</v>
      </c>
      <c r="H15" s="27">
        <f t="shared" si="0"/>
        <v>1035.02</v>
      </c>
      <c r="I15" s="33">
        <v>150</v>
      </c>
      <c r="J15" s="61">
        <f>37.47+0.72</f>
        <v>38.19</v>
      </c>
      <c r="K15" s="35">
        <f>+I15-J15-J16</f>
        <v>111.81</v>
      </c>
      <c r="L15" s="57"/>
      <c r="O15" s="59">
        <f t="shared" si="1"/>
        <v>86.85</v>
      </c>
    </row>
    <row r="16" spans="1:15" s="20" customFormat="1" ht="23.25">
      <c r="A16" s="21" t="s">
        <v>37</v>
      </c>
      <c r="B16" s="62">
        <v>440.08</v>
      </c>
      <c r="C16" s="32">
        <v>42.8</v>
      </c>
      <c r="D16" s="58">
        <f t="shared" si="2"/>
        <v>482.88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482.88</v>
      </c>
    </row>
    <row r="17" spans="1:18" s="20" customFormat="1" ht="23.25">
      <c r="A17" s="21" t="s">
        <v>39</v>
      </c>
      <c r="B17" s="65">
        <v>844.63</v>
      </c>
      <c r="C17" s="32">
        <v>77.010000000000005</v>
      </c>
      <c r="D17" s="58">
        <f t="shared" si="2"/>
        <v>921.64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921.64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745.1</v>
      </c>
      <c r="H19" s="83">
        <f>+H4+H9</f>
        <v>14556.3</v>
      </c>
      <c r="I19" s="19">
        <f>+I4+I9</f>
        <v>3050</v>
      </c>
      <c r="J19" s="84">
        <f>+J4+J9</f>
        <v>776.40000000000009</v>
      </c>
      <c r="K19" s="51">
        <f>+K4+K9</f>
        <v>2273.6</v>
      </c>
      <c r="M19" s="20">
        <f>F20+G20</f>
        <v>2407.14</v>
      </c>
      <c r="O19" s="85"/>
    </row>
    <row r="20" spans="1:18" s="20" customFormat="1" ht="23.25">
      <c r="A20" s="86"/>
      <c r="B20" s="74"/>
      <c r="C20" s="71"/>
      <c r="D20" s="80"/>
      <c r="E20" s="87" t="s">
        <v>158</v>
      </c>
      <c r="F20" s="88">
        <f>B22-F19</f>
        <v>2297.8199999999997</v>
      </c>
      <c r="G20" s="89">
        <f>C22-G19</f>
        <v>109.32000000000005</v>
      </c>
      <c r="H20" s="90">
        <f>+D22-H19</f>
        <v>2407.1399999999994</v>
      </c>
      <c r="I20" s="225" t="s">
        <v>159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160</v>
      </c>
      <c r="F21" s="95"/>
      <c r="G21" s="96"/>
      <c r="H21" s="97"/>
      <c r="I21" s="214" t="s">
        <v>161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-2407.1399999999994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854.42000000000007</v>
      </c>
      <c r="D22" s="100">
        <f>SUM(D4:D10)</f>
        <v>16963.439999999999</v>
      </c>
      <c r="E22" s="101" t="s">
        <v>46</v>
      </c>
      <c r="F22" s="102">
        <f>SUM(F19:F20)</f>
        <v>16109.02</v>
      </c>
      <c r="G22" s="103">
        <f>SUM(G19:G20)</f>
        <v>854.42000000000007</v>
      </c>
      <c r="H22" s="102">
        <f>+H19+H20</f>
        <v>16963.439999999999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6"/>
      <c r="K25" s="176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2407.1399999999994</v>
      </c>
      <c r="J26" s="111">
        <f>+F39</f>
        <v>86.849999999999937</v>
      </c>
      <c r="K26" s="112">
        <f>+I26-J26</f>
        <v>2320.2899999999995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4.25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1.999999999999999E-2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1.3099999999999998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80.219999999999942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86.849999999999937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9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9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9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  <c r="R51" s="105">
        <f>+G43+G49+G54+G60</f>
        <v>2.0499999999999998</v>
      </c>
    </row>
    <row r="52" spans="5:19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9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 t="shared" ref="K53:K55" si="3">+G53+H53-I53-J53</f>
        <v>0</v>
      </c>
    </row>
    <row r="54" spans="5:19" ht="15.75" customHeight="1" thickBot="1">
      <c r="E54" s="113"/>
      <c r="F54" t="s">
        <v>66</v>
      </c>
      <c r="G54" s="120">
        <v>0.15</v>
      </c>
      <c r="H54" s="114">
        <v>0</v>
      </c>
      <c r="I54" s="114">
        <v>0.13</v>
      </c>
      <c r="J54" s="114">
        <v>0</v>
      </c>
      <c r="K54" s="114">
        <f t="shared" si="3"/>
        <v>1.999999999999999E-2</v>
      </c>
    </row>
    <row r="55" spans="5:19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 t="shared" si="3"/>
        <v>0</v>
      </c>
      <c r="L55" s="114">
        <f>SUM(K52:K55)</f>
        <v>1.999999999999999E-2</v>
      </c>
      <c r="M55" s="105">
        <f>SUM(K52:K55)</f>
        <v>1.999999999999999E-2</v>
      </c>
    </row>
    <row r="56" spans="5:19" ht="18.75" customHeight="1" thickBot="1">
      <c r="E56" s="113"/>
      <c r="F56" s="128"/>
      <c r="G56" s="120"/>
      <c r="H56" s="114"/>
      <c r="I56" s="114"/>
      <c r="J56" s="114"/>
      <c r="K56" s="131">
        <f>SUM(K52:K55)</f>
        <v>1.999999999999999E-2</v>
      </c>
      <c r="L56" s="114"/>
    </row>
    <row r="57" spans="5:19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9" ht="18.75" customHeight="1">
      <c r="E58" s="113"/>
      <c r="F58" t="s">
        <v>64</v>
      </c>
      <c r="G58" s="120">
        <v>4.95</v>
      </c>
      <c r="H58" s="114">
        <f>41.05+1.59+11.97-0.02</f>
        <v>54.589999999999996</v>
      </c>
      <c r="I58" s="114">
        <f>41.05+1.59+11.97-0.02</f>
        <v>54.589999999999996</v>
      </c>
      <c r="J58" s="114">
        <v>4.95</v>
      </c>
      <c r="K58" s="114">
        <f t="shared" ref="K58" si="4">+G58+H58-I58-J58</f>
        <v>0</v>
      </c>
      <c r="L58" s="114"/>
    </row>
    <row r="59" spans="5:19" ht="18.75" customHeight="1">
      <c r="E59" s="113"/>
      <c r="F59" s="133" t="s">
        <v>71</v>
      </c>
      <c r="G59" s="120">
        <v>0.33</v>
      </c>
      <c r="H59" s="114">
        <v>0</v>
      </c>
      <c r="I59" s="114">
        <f>0.13+0.18</f>
        <v>0.31</v>
      </c>
      <c r="J59" s="114">
        <v>0</v>
      </c>
      <c r="K59" s="114">
        <f>+G59+H59-I59-J59</f>
        <v>2.0000000000000018E-2</v>
      </c>
      <c r="L59" s="114"/>
    </row>
    <row r="60" spans="5:19" ht="18.75" customHeight="1" thickBot="1">
      <c r="E60" s="113"/>
      <c r="F60" t="s">
        <v>66</v>
      </c>
      <c r="G60" s="120">
        <f>1.9-0.08+0.03</f>
        <v>1.8499999999999999</v>
      </c>
      <c r="H60" s="114">
        <v>0</v>
      </c>
      <c r="I60" s="114">
        <f>0.37+0.01+0.02</f>
        <v>0.4</v>
      </c>
      <c r="J60" s="105">
        <f>0.15+0.01</f>
        <v>0.16</v>
      </c>
      <c r="K60" s="114">
        <f>+G60+H60-I60-J60</f>
        <v>1.2899999999999998</v>
      </c>
      <c r="L60" s="114"/>
      <c r="R60" s="105">
        <f>+K43+K49+K54+K60</f>
        <v>1.3599999999999999</v>
      </c>
    </row>
    <row r="61" spans="5:19" ht="18.75" customHeight="1" thickBot="1">
      <c r="E61" s="113"/>
      <c r="G61" s="120"/>
      <c r="H61" s="114"/>
      <c r="I61" s="114"/>
      <c r="K61" s="134">
        <f>SUM(K57:K60)</f>
        <v>1.3099999999999998</v>
      </c>
      <c r="L61" s="114"/>
    </row>
    <row r="62" spans="5:19" ht="18.75" customHeight="1">
      <c r="E62" s="121" t="s">
        <v>72</v>
      </c>
      <c r="F62" t="s">
        <v>63</v>
      </c>
      <c r="G62" s="120">
        <v>0</v>
      </c>
      <c r="H62" s="114">
        <f>550.1+29.5+42.53+11.27</f>
        <v>633.4</v>
      </c>
      <c r="I62" s="114">
        <f>412.72+85.59+73.38</f>
        <v>571.69000000000005</v>
      </c>
      <c r="J62" s="114">
        <f>0.04+10.06+0.36</f>
        <v>10.459999999999999</v>
      </c>
      <c r="K62" s="114">
        <f>+G62+H62-I62-J62</f>
        <v>51.249999999999922</v>
      </c>
      <c r="L62" s="114"/>
      <c r="Q62" s="125" t="s">
        <v>61</v>
      </c>
      <c r="R62" s="105">
        <f>+J58+J60+J62+J64</f>
        <v>15.59</v>
      </c>
    </row>
    <row r="63" spans="5:19" ht="18.75" customHeight="1">
      <c r="E63" s="113"/>
      <c r="F63" t="s">
        <v>64</v>
      </c>
      <c r="G63" s="120">
        <v>0</v>
      </c>
      <c r="H63" s="114">
        <f>0.34+2.35+14.25+71.55+16.32</f>
        <v>104.81</v>
      </c>
      <c r="I63" s="114">
        <f>16.94+71.55</f>
        <v>88.49</v>
      </c>
      <c r="J63" s="114">
        <v>0</v>
      </c>
      <c r="K63" s="114">
        <f t="shared" ref="K63" si="5">+G63+H63-I63-J63</f>
        <v>16.320000000000007</v>
      </c>
      <c r="L63" s="114"/>
      <c r="Q63" s="125" t="s">
        <v>60</v>
      </c>
      <c r="R63" s="105">
        <f>+I54+I60+I64</f>
        <v>26.05</v>
      </c>
    </row>
    <row r="64" spans="5:19" ht="18.75" customHeight="1" thickBot="1">
      <c r="E64" s="113"/>
      <c r="F64" t="s">
        <v>66</v>
      </c>
      <c r="G64" s="120">
        <v>0</v>
      </c>
      <c r="H64" s="114">
        <f>37.03+0.44+0.72</f>
        <v>38.19</v>
      </c>
      <c r="I64" s="114">
        <f>20.63+2.42+0.01+2.46</f>
        <v>25.52</v>
      </c>
      <c r="J64" s="105">
        <f>0.01+0.01</f>
        <v>0.02</v>
      </c>
      <c r="K64" s="114">
        <f>+G64+H64-I64-J64</f>
        <v>12.649999999999999</v>
      </c>
      <c r="L64" s="114"/>
      <c r="R64" s="105">
        <f>+R63+I66</f>
        <v>26.220000000000002</v>
      </c>
      <c r="S64" s="105">
        <f>+I54+I59+I60+I64+I66</f>
        <v>26.53</v>
      </c>
    </row>
    <row r="65" spans="5:18" ht="18.75" customHeight="1" thickBot="1">
      <c r="E65" s="113"/>
      <c r="G65" s="120"/>
      <c r="H65" s="114"/>
      <c r="I65" s="114"/>
      <c r="J65" s="114"/>
      <c r="K65" s="134">
        <f>SUM(K62:K64)</f>
        <v>80.219999999999942</v>
      </c>
      <c r="L65" s="114"/>
    </row>
    <row r="66" spans="5:18" ht="18.75" customHeight="1">
      <c r="E66" s="113"/>
      <c r="F66" s="129" t="s">
        <v>50</v>
      </c>
      <c r="G66" s="120">
        <v>2.91</v>
      </c>
      <c r="H66" s="114">
        <f>0.77+0.43+0.06+0.12+0.13</f>
        <v>1.5099999999999998</v>
      </c>
      <c r="I66" s="114">
        <f>0.12+0.05</f>
        <v>0.16999999999999998</v>
      </c>
      <c r="J66"/>
      <c r="K66" s="114">
        <f>+G66+H66-I66</f>
        <v>4.25</v>
      </c>
      <c r="R66" s="105">
        <f>+H57+H58+H62+H63+H64</f>
        <v>834.49</v>
      </c>
    </row>
    <row r="67" spans="5:18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  <c r="R67" s="105">
        <f>+I57+I62</f>
        <v>575.49</v>
      </c>
    </row>
    <row r="68" spans="5:18" ht="18.75" customHeight="1" thickBot="1">
      <c r="E68" s="121" t="s">
        <v>73</v>
      </c>
      <c r="H68" s="114"/>
      <c r="I68" s="114"/>
      <c r="J68"/>
      <c r="K68" s="131">
        <f>+K46+K51+K56+K61+K65+K66+K67</f>
        <v>86.849999999999937</v>
      </c>
      <c r="M68" s="105">
        <f>+K51+K66+K67</f>
        <v>5.26</v>
      </c>
      <c r="R68" s="105">
        <f>+I58+I63</f>
        <v>143.07999999999998</v>
      </c>
    </row>
    <row r="69" spans="5:18" ht="18.75" customHeight="1">
      <c r="E69" s="121" t="s">
        <v>74</v>
      </c>
      <c r="H69" s="114"/>
      <c r="I69" s="114"/>
      <c r="J69"/>
      <c r="K69" s="135"/>
      <c r="M69" s="105"/>
      <c r="R69" s="105">
        <f>+I63+I58</f>
        <v>143.07999999999998</v>
      </c>
    </row>
    <row r="70" spans="5:18" ht="15.75" customHeight="1">
      <c r="E70" s="136" t="s">
        <v>75</v>
      </c>
      <c r="G70" s="120">
        <v>158.22</v>
      </c>
      <c r="H70" s="114">
        <f>41.05+1.59+11.97</f>
        <v>54.61</v>
      </c>
      <c r="J70" s="137"/>
      <c r="K70" s="114">
        <f>+G70-H70-I70-J70</f>
        <v>103.61</v>
      </c>
      <c r="R70" s="105">
        <f>+K43+K49+K54+K60+K64</f>
        <v>14.009999999999998</v>
      </c>
    </row>
    <row r="71" spans="5:18" ht="15.75" customHeight="1">
      <c r="E71" s="138" t="s">
        <v>63</v>
      </c>
      <c r="G71" s="120">
        <v>6</v>
      </c>
      <c r="H71" s="114">
        <v>3.5</v>
      </c>
      <c r="J71" s="137"/>
      <c r="K71" s="114">
        <f t="shared" ref="K71:K72" si="6">+G71-H71-I71-J71</f>
        <v>2.5</v>
      </c>
      <c r="R71" s="105">
        <f>+R70-1.33</f>
        <v>12.679999999999998</v>
      </c>
    </row>
    <row r="72" spans="5:18" ht="15.75" customHeight="1" thickBot="1">
      <c r="E72" s="138" t="s">
        <v>76</v>
      </c>
      <c r="G72" s="120">
        <v>2.33</v>
      </c>
      <c r="H72" s="114">
        <v>0</v>
      </c>
      <c r="J72" s="137"/>
      <c r="K72" s="114">
        <f t="shared" si="6"/>
        <v>2.33</v>
      </c>
      <c r="R72" s="105">
        <f>+R71-1.33</f>
        <v>11.349999999999998</v>
      </c>
    </row>
    <row r="73" spans="5:18" ht="18.75" customHeight="1" thickBot="1">
      <c r="E73" s="136"/>
      <c r="H73" s="114"/>
      <c r="I73" s="114"/>
      <c r="J73"/>
      <c r="K73" s="131">
        <f>SUM(K70:K72)</f>
        <v>108.44</v>
      </c>
      <c r="M73" s="105"/>
    </row>
    <row r="74" spans="5:18" ht="18.75" customHeight="1">
      <c r="E74" s="121" t="s">
        <v>77</v>
      </c>
      <c r="R74" s="105">
        <f>+I66+I64+I60+I54+I59</f>
        <v>26.529999999999998</v>
      </c>
    </row>
    <row r="75" spans="5:18" ht="15.75" customHeight="1">
      <c r="E75" s="136" t="s">
        <v>63</v>
      </c>
      <c r="J75" s="137">
        <v>0</v>
      </c>
      <c r="K75" s="114">
        <f>+K5-J75</f>
        <v>16.600000000000023</v>
      </c>
    </row>
    <row r="76" spans="5:18" ht="18" customHeight="1">
      <c r="E76" s="136" t="s">
        <v>75</v>
      </c>
      <c r="J76" s="105">
        <v>0</v>
      </c>
      <c r="K76" s="114">
        <f>+K6</f>
        <v>1895.19</v>
      </c>
    </row>
    <row r="77" spans="5:18" ht="15.75" customHeight="1">
      <c r="E77" s="136" t="s">
        <v>66</v>
      </c>
      <c r="J77" s="137">
        <v>0</v>
      </c>
      <c r="K77" s="114">
        <f>+K8-J77</f>
        <v>250</v>
      </c>
    </row>
    <row r="78" spans="5:18" ht="15.75" customHeight="1" thickBot="1">
      <c r="E78" s="136" t="s">
        <v>78</v>
      </c>
      <c r="J78" s="137">
        <v>0</v>
      </c>
      <c r="K78" s="114">
        <f>+K15-J78</f>
        <v>111.81</v>
      </c>
    </row>
    <row r="79" spans="5:18" ht="18.75" customHeight="1" thickBot="1">
      <c r="E79" s="121" t="s">
        <v>79</v>
      </c>
      <c r="J79" s="139">
        <f>SUM(J75:J78)</f>
        <v>0</v>
      </c>
      <c r="K79" s="140">
        <f>SUM(K75:K78)</f>
        <v>2273.6</v>
      </c>
    </row>
    <row r="80" spans="5:18" ht="23.25" customHeight="1" thickBot="1">
      <c r="E80" s="121" t="s">
        <v>80</v>
      </c>
      <c r="K80" s="141">
        <f>+K68+K73+K79</f>
        <v>2468.89</v>
      </c>
    </row>
    <row r="81" spans="5:11" ht="18.75" customHeight="1" thickBot="1">
      <c r="E81" s="138" t="s">
        <v>162</v>
      </c>
      <c r="K81" s="142">
        <f>+H20</f>
        <v>2407.1399999999994</v>
      </c>
    </row>
    <row r="82" spans="5:11" ht="23.25" customHeight="1" thickBot="1">
      <c r="E82" s="121" t="s">
        <v>82</v>
      </c>
      <c r="K82" s="143">
        <f>+K81-K80</f>
        <v>-61.750000000000455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8 ส.ค.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50"/>
  </sheetPr>
  <dimension ref="A1:S46"/>
  <sheetViews>
    <sheetView zoomScaleSheetLayoutView="75" workbookViewId="0">
      <selection activeCell="H20" sqref="H20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151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152</v>
      </c>
      <c r="C3" s="149"/>
      <c r="D3" s="149"/>
      <c r="E3" s="149"/>
      <c r="F3" s="149"/>
      <c r="G3" s="149"/>
      <c r="H3" s="149"/>
      <c r="J3" s="150">
        <f>SUM(J4:J7)</f>
        <v>2410.5700000000002</v>
      </c>
      <c r="K3" s="150"/>
      <c r="L3" s="149" t="s">
        <v>90</v>
      </c>
    </row>
    <row r="4" spans="1:19">
      <c r="C4" s="146" t="s">
        <v>91</v>
      </c>
      <c r="J4" s="151">
        <v>1.59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2275.9299999999998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129.09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3.96</v>
      </c>
      <c r="K7" s="151"/>
      <c r="L7" s="146" t="s">
        <v>90</v>
      </c>
      <c r="N7" s="147" t="s">
        <v>95</v>
      </c>
      <c r="P7" s="152">
        <f>SUM(J6:J7)</f>
        <v>133.05000000000001</v>
      </c>
      <c r="Q7" s="153"/>
      <c r="S7" s="173">
        <f>+J4+J6+J7</f>
        <v>134.64000000000001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2410.5699999999997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2556.9299999999998</v>
      </c>
      <c r="K10" s="157"/>
      <c r="L10" s="156" t="s">
        <v>90</v>
      </c>
    </row>
    <row r="11" spans="1:19">
      <c r="D11" s="146" t="s">
        <v>98</v>
      </c>
      <c r="J11" s="151">
        <f>+I29</f>
        <v>2424.54</v>
      </c>
      <c r="K11" s="151"/>
      <c r="L11" s="146" t="s">
        <v>90</v>
      </c>
    </row>
    <row r="12" spans="1:19">
      <c r="D12" s="146" t="s">
        <v>99</v>
      </c>
      <c r="J12" s="151">
        <f>+I40</f>
        <v>132.38999999999999</v>
      </c>
      <c r="K12" s="151"/>
      <c r="L12" s="146" t="s">
        <v>90</v>
      </c>
      <c r="N12" s="147">
        <f>79.47+71.91+5.93-2.01</f>
        <v>155.30000000000001</v>
      </c>
      <c r="S12" s="173">
        <f>+J12+J15</f>
        <v>134.60000000000002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-146.3600000000001</v>
      </c>
      <c r="K13" s="157"/>
      <c r="L13" s="156" t="s">
        <v>90</v>
      </c>
      <c r="N13" s="159">
        <f>+J14+J11</f>
        <v>2275.9699999999998</v>
      </c>
    </row>
    <row r="14" spans="1:19">
      <c r="D14" s="146" t="s">
        <v>98</v>
      </c>
      <c r="J14" s="151">
        <f>+J5-I29+0.04</f>
        <v>-148.57000000000014</v>
      </c>
      <c r="K14" s="151"/>
      <c r="L14" s="146" t="s">
        <v>90</v>
      </c>
      <c r="N14" s="147">
        <f>+J15+J12</f>
        <v>134.60000000000002</v>
      </c>
    </row>
    <row r="15" spans="1:19">
      <c r="D15" s="146" t="s">
        <v>99</v>
      </c>
      <c r="J15" s="151">
        <f>+J4+J6+J7-J12-0.04</f>
        <v>2.2100000000000284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153</v>
      </c>
      <c r="J18" s="157">
        <f>+J3</f>
        <v>2410.5700000000002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117.17-1.59</f>
        <v>115.58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120.89999999999999</v>
      </c>
      <c r="I27" s="157"/>
    </row>
    <row r="28" spans="2:12">
      <c r="D28" s="156" t="s">
        <v>112</v>
      </c>
      <c r="G28" s="164">
        <f>2302.35-0.44</f>
        <v>2301.91</v>
      </c>
      <c r="H28" s="147"/>
      <c r="I28" s="157"/>
    </row>
    <row r="29" spans="2:12">
      <c r="D29" s="146" t="s">
        <v>113</v>
      </c>
      <c r="G29" s="163">
        <f>2.09-0.36</f>
        <v>1.73</v>
      </c>
      <c r="H29" s="165">
        <f>SUM(G28:G29)</f>
        <v>2303.64</v>
      </c>
      <c r="I29" s="157">
        <f>+H27+H29</f>
        <v>2424.54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0.69+1.59-1.59</f>
        <v>0.69000000000000017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v>1.33</v>
      </c>
      <c r="H34" s="147"/>
      <c r="I34" s="157"/>
    </row>
    <row r="35" spans="3:14">
      <c r="D35" s="146" t="s">
        <v>110</v>
      </c>
      <c r="G35" s="163">
        <f>2.63-0.05</f>
        <v>2.58</v>
      </c>
      <c r="H35" s="167">
        <f>SUM(G32:G35)</f>
        <v>4.6000000000000005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f>71.55-71.55</f>
        <v>0</v>
      </c>
      <c r="H37" s="167"/>
      <c r="I37" s="168"/>
      <c r="L37" s="156"/>
    </row>
    <row r="38" spans="3:14">
      <c r="D38" s="146" t="s">
        <v>115</v>
      </c>
      <c r="G38" s="164">
        <f>209.37-85.59-10.06</f>
        <v>113.72</v>
      </c>
      <c r="H38" s="167"/>
      <c r="I38" s="168"/>
      <c r="L38" s="156"/>
    </row>
    <row r="39" spans="3:14">
      <c r="D39" s="146" t="s">
        <v>116</v>
      </c>
      <c r="G39" s="164">
        <f>14.3+0.44-2.06+0.01</f>
        <v>12.69</v>
      </c>
      <c r="H39" s="167"/>
      <c r="I39" s="168"/>
      <c r="L39" s="156"/>
    </row>
    <row r="40" spans="3:14">
      <c r="D40" s="146" t="s">
        <v>110</v>
      </c>
      <c r="G40" s="163">
        <f>1.26+0.12</f>
        <v>1.38</v>
      </c>
      <c r="H40" s="165">
        <f>SUM(G37:G40)</f>
        <v>127.78999999999999</v>
      </c>
      <c r="I40" s="168">
        <f>+H35+H40</f>
        <v>132.38999999999999</v>
      </c>
      <c r="J40" s="170">
        <f>+I29+I40</f>
        <v>2556.9299999999998</v>
      </c>
      <c r="L40" s="156"/>
    </row>
    <row r="41" spans="3:14" ht="21.75" thickBot="1">
      <c r="C41" s="156" t="s">
        <v>154</v>
      </c>
      <c r="I41" s="171"/>
      <c r="J41" s="172">
        <f>+J18-J40</f>
        <v>-146.35999999999967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3.96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มิ.ย. 2557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50"/>
  </sheetPr>
  <dimension ref="A1:S109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G61" sqref="G61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143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144</v>
      </c>
      <c r="E3" s="1" t="s">
        <v>5</v>
      </c>
      <c r="F3" s="2" t="s">
        <v>9</v>
      </c>
      <c r="G3" s="3" t="s">
        <v>7</v>
      </c>
      <c r="H3" s="5" t="s">
        <v>145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633.22</v>
      </c>
      <c r="H4" s="16">
        <f>SUM(H5:H8)</f>
        <v>11699.840000000002</v>
      </c>
      <c r="I4" s="17">
        <f>SUM(I5:I8)</f>
        <v>2900</v>
      </c>
      <c r="J4" s="18">
        <f>SUM(J5:J8)</f>
        <v>710.62</v>
      </c>
      <c r="K4" s="19">
        <f>SUM(K5:K8)</f>
        <v>2189.38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416.52+85.59</f>
        <v>502.11</v>
      </c>
      <c r="H5" s="27">
        <f>+F5+G5</f>
        <v>8323.94</v>
      </c>
      <c r="I5" s="28">
        <v>650</v>
      </c>
      <c r="J5" s="29">
        <f>550.1+29.5+42.53</f>
        <v>622.13</v>
      </c>
      <c r="K5" s="30">
        <f>+I5-J5</f>
        <v>27.870000000000005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57.98+73.13</f>
        <v>131.10999999999999</v>
      </c>
      <c r="H6" s="27">
        <f>+F6+G6</f>
        <v>3091.3</v>
      </c>
      <c r="I6" s="33">
        <v>2000</v>
      </c>
      <c r="J6" s="34">
        <f>0.34+2.35+14.25+71.55</f>
        <v>88.49</v>
      </c>
      <c r="K6" s="35">
        <f>+I6-J6</f>
        <v>1911.51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24.07</v>
      </c>
      <c r="H9" s="16">
        <f>SUM(H10:H18)</f>
        <v>2768.6499999999996</v>
      </c>
      <c r="I9" s="17">
        <f>SUM(I15:I16)</f>
        <v>150</v>
      </c>
      <c r="J9" s="50">
        <f>SUM(J15:J16)</f>
        <v>37.47</v>
      </c>
      <c r="K9" s="51">
        <f>SUM(K15:K16)</f>
        <v>112.53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770.04</v>
      </c>
      <c r="D10" s="24">
        <f>SUM(O11:O17)</f>
        <v>9805.8300000000017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23.78</v>
      </c>
      <c r="D11" s="58">
        <f>+B11+C11</f>
        <v>700.33999999999992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700.33999999999992</v>
      </c>
    </row>
    <row r="12" spans="1:15" s="20" customFormat="1" ht="23.25">
      <c r="A12" s="21" t="s">
        <v>29</v>
      </c>
      <c r="B12" s="31">
        <v>679.13</v>
      </c>
      <c r="C12" s="32">
        <v>36.75</v>
      </c>
      <c r="D12" s="58">
        <f t="shared" ref="D12:D17" si="2">+B12+C12</f>
        <v>715.88</v>
      </c>
      <c r="E12" s="21" t="s">
        <v>30</v>
      </c>
      <c r="F12" s="31">
        <v>83.69</v>
      </c>
      <c r="G12" s="32">
        <v>2.76</v>
      </c>
      <c r="H12" s="27">
        <f t="shared" si="0"/>
        <v>86.45</v>
      </c>
      <c r="I12" s="33"/>
      <c r="J12" s="43">
        <v>0</v>
      </c>
      <c r="K12" s="44">
        <f>+I12-J12</f>
        <v>0</v>
      </c>
      <c r="L12" s="57"/>
      <c r="O12" s="59">
        <f t="shared" si="1"/>
        <v>715.88</v>
      </c>
    </row>
    <row r="13" spans="1:15" s="20" customFormat="1" ht="23.25">
      <c r="A13" s="21" t="s">
        <v>31</v>
      </c>
      <c r="B13" s="31">
        <v>256.90000000000003</v>
      </c>
      <c r="C13" s="32">
        <v>8.67</v>
      </c>
      <c r="D13" s="58">
        <f t="shared" si="2"/>
        <v>265.57000000000005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265.57000000000005</v>
      </c>
    </row>
    <row r="14" spans="1:15" s="20" customFormat="1" ht="23.25">
      <c r="A14" s="21" t="s">
        <v>33</v>
      </c>
      <c r="B14" s="31">
        <v>6054.08</v>
      </c>
      <c r="C14" s="32">
        <v>593.30999999999995</v>
      </c>
      <c r="D14" s="58">
        <f t="shared" si="2"/>
        <v>6647.3899999999994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6647.3899999999994</v>
      </c>
    </row>
    <row r="15" spans="1:15" s="20" customFormat="1" ht="23.25">
      <c r="A15" s="21" t="s">
        <v>35</v>
      </c>
      <c r="B15" s="60">
        <v>84.41</v>
      </c>
      <c r="C15" s="32">
        <v>2.27</v>
      </c>
      <c r="D15" s="58">
        <f t="shared" si="2"/>
        <v>86.679999999999993</v>
      </c>
      <c r="E15" s="21" t="s">
        <v>36</v>
      </c>
      <c r="F15" s="31">
        <v>1011.25</v>
      </c>
      <c r="G15" s="32">
        <f>18.83+2.47+0.01</f>
        <v>21.31</v>
      </c>
      <c r="H15" s="27">
        <f t="shared" si="0"/>
        <v>1032.56</v>
      </c>
      <c r="I15" s="33">
        <v>150</v>
      </c>
      <c r="J15" s="61">
        <f>37.03+0.44</f>
        <v>37.47</v>
      </c>
      <c r="K15" s="35">
        <f>+I15-J15-J16</f>
        <v>112.53</v>
      </c>
      <c r="L15" s="57"/>
      <c r="O15" s="59">
        <f t="shared" si="1"/>
        <v>86.679999999999993</v>
      </c>
    </row>
    <row r="16" spans="1:15" s="20" customFormat="1" ht="23.25">
      <c r="A16" s="21" t="s">
        <v>37</v>
      </c>
      <c r="B16" s="62">
        <v>440.08</v>
      </c>
      <c r="C16" s="32">
        <v>37.770000000000003</v>
      </c>
      <c r="D16" s="58">
        <f t="shared" si="2"/>
        <v>477.84999999999997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477.84999999999997</v>
      </c>
    </row>
    <row r="17" spans="1:18" s="20" customFormat="1" ht="23.25">
      <c r="A17" s="21" t="s">
        <v>39</v>
      </c>
      <c r="B17" s="65">
        <v>844.63</v>
      </c>
      <c r="C17" s="32">
        <v>67.489999999999995</v>
      </c>
      <c r="D17" s="58">
        <f t="shared" si="2"/>
        <v>912.12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912.12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657.29000000000008</v>
      </c>
      <c r="H19" s="83">
        <f>+H4+H9</f>
        <v>14468.490000000002</v>
      </c>
      <c r="I19" s="19">
        <f>+I4+I9</f>
        <v>3050</v>
      </c>
      <c r="J19" s="84">
        <f>+J4+J9</f>
        <v>748.09</v>
      </c>
      <c r="K19" s="51">
        <f>+K4+K9</f>
        <v>2301.9100000000003</v>
      </c>
      <c r="M19" s="20">
        <f>F20+G20</f>
        <v>2410.5699999999997</v>
      </c>
      <c r="O19" s="85"/>
    </row>
    <row r="20" spans="1:18" s="20" customFormat="1" ht="23.25">
      <c r="A20" s="86"/>
      <c r="B20" s="74"/>
      <c r="C20" s="71"/>
      <c r="D20" s="80"/>
      <c r="E20" s="87" t="s">
        <v>146</v>
      </c>
      <c r="F20" s="88">
        <f>B22-F19</f>
        <v>2297.8199999999997</v>
      </c>
      <c r="G20" s="89">
        <f>C22-G19</f>
        <v>112.74999999999989</v>
      </c>
      <c r="H20" s="90">
        <f>+D22-H19</f>
        <v>2410.5699999999997</v>
      </c>
      <c r="I20" s="225" t="s">
        <v>147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148</v>
      </c>
      <c r="F21" s="95"/>
      <c r="G21" s="96"/>
      <c r="H21" s="97"/>
      <c r="I21" s="214" t="s">
        <v>149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-2410.5699999999997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770.04</v>
      </c>
      <c r="D22" s="100">
        <f>SUM(D4:D10)</f>
        <v>16879.060000000001</v>
      </c>
      <c r="E22" s="101" t="s">
        <v>46</v>
      </c>
      <c r="F22" s="102">
        <f>SUM(F19:F20)</f>
        <v>16109.02</v>
      </c>
      <c r="G22" s="103">
        <f>SUM(G19:G20)</f>
        <v>770.04</v>
      </c>
      <c r="H22" s="102">
        <f>+H19+H20</f>
        <v>16879.060000000001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5"/>
      <c r="K25" s="175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2410.5699999999997</v>
      </c>
      <c r="J26" s="111">
        <f>+F39</f>
        <v>134.60999999999996</v>
      </c>
      <c r="K26" s="112">
        <f>+I26-J26</f>
        <v>2275.9599999999996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4.12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1.999999999999999E-2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1.3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128.11999999999995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134.60999999999996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9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9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9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  <c r="R51" s="105">
        <f>+G43+G49+G54+G60</f>
        <v>2.04</v>
      </c>
    </row>
    <row r="52" spans="5:19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9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 t="shared" ref="K53:K55" si="3">+G53+H53-I53-J53</f>
        <v>0</v>
      </c>
    </row>
    <row r="54" spans="5:19" ht="15.75" customHeight="1" thickBot="1">
      <c r="E54" s="113"/>
      <c r="F54" t="s">
        <v>66</v>
      </c>
      <c r="G54" s="120">
        <v>0.15</v>
      </c>
      <c r="H54" s="114">
        <v>0</v>
      </c>
      <c r="I54" s="114">
        <v>0.13</v>
      </c>
      <c r="J54" s="114">
        <v>0</v>
      </c>
      <c r="K54" s="114">
        <f t="shared" si="3"/>
        <v>1.999999999999999E-2</v>
      </c>
    </row>
    <row r="55" spans="5:19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 t="shared" si="3"/>
        <v>0</v>
      </c>
      <c r="L55" s="114">
        <f>SUM(K52:K55)</f>
        <v>1.999999999999999E-2</v>
      </c>
      <c r="M55" s="105">
        <f>SUM(K52:K55)</f>
        <v>1.999999999999999E-2</v>
      </c>
    </row>
    <row r="56" spans="5:19" ht="18.75" customHeight="1" thickBot="1">
      <c r="E56" s="113"/>
      <c r="F56" s="128"/>
      <c r="G56" s="120"/>
      <c r="H56" s="114"/>
      <c r="I56" s="114"/>
      <c r="J56" s="114"/>
      <c r="K56" s="131">
        <f>SUM(K52:K55)</f>
        <v>1.999999999999999E-2</v>
      </c>
      <c r="L56" s="114"/>
    </row>
    <row r="57" spans="5:19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9" ht="18.75" customHeight="1">
      <c r="E58" s="113"/>
      <c r="F58" t="s">
        <v>64</v>
      </c>
      <c r="G58" s="120">
        <v>4.95</v>
      </c>
      <c r="H58" s="114">
        <f>41.05+1.59-0.02</f>
        <v>42.62</v>
      </c>
      <c r="I58" s="114">
        <f>41.05+1.59-0.02</f>
        <v>42.62</v>
      </c>
      <c r="J58" s="114">
        <v>4.95</v>
      </c>
      <c r="K58" s="114">
        <f t="shared" ref="K58" si="4">+G58+H58-I58-J58</f>
        <v>0</v>
      </c>
      <c r="L58" s="114"/>
    </row>
    <row r="59" spans="5:19" ht="18.75" customHeight="1">
      <c r="E59" s="113"/>
      <c r="F59" s="133" t="s">
        <v>71</v>
      </c>
      <c r="G59" s="120">
        <v>0.33</v>
      </c>
      <c r="H59" s="114">
        <v>0</v>
      </c>
      <c r="I59" s="114">
        <f>0.13+0.18</f>
        <v>0.31</v>
      </c>
      <c r="J59" s="114">
        <v>0</v>
      </c>
      <c r="K59" s="114">
        <f>+G59+H59-I59-J59</f>
        <v>2.0000000000000018E-2</v>
      </c>
      <c r="L59" s="114"/>
    </row>
    <row r="60" spans="5:19" ht="18.75" customHeight="1" thickBot="1">
      <c r="E60" s="113"/>
      <c r="F60" t="s">
        <v>66</v>
      </c>
      <c r="G60" s="120">
        <f>1.9-0.08+0.02</f>
        <v>1.8399999999999999</v>
      </c>
      <c r="H60" s="114">
        <v>0</v>
      </c>
      <c r="I60" s="114">
        <f>0.37+0.01+0.02</f>
        <v>0.4</v>
      </c>
      <c r="J60" s="105">
        <f>0.15+0.01</f>
        <v>0.16</v>
      </c>
      <c r="K60" s="114">
        <f>+G60+H60-I60-J60</f>
        <v>1.28</v>
      </c>
      <c r="L60" s="114"/>
      <c r="R60" s="105">
        <f>+K43+K49+K54+K60</f>
        <v>1.35</v>
      </c>
    </row>
    <row r="61" spans="5:19" ht="18.75" customHeight="1" thickBot="1">
      <c r="E61" s="113"/>
      <c r="G61" s="120"/>
      <c r="H61" s="114"/>
      <c r="I61" s="114"/>
      <c r="K61" s="134">
        <f>SUM(K57:K60)</f>
        <v>1.3</v>
      </c>
      <c r="L61" s="114"/>
    </row>
    <row r="62" spans="5:19" ht="18.75" customHeight="1">
      <c r="E62" s="121" t="s">
        <v>72</v>
      </c>
      <c r="F62" t="s">
        <v>63</v>
      </c>
      <c r="G62" s="120">
        <v>0</v>
      </c>
      <c r="H62" s="114">
        <f>550.1+29.5+42.53</f>
        <v>622.13</v>
      </c>
      <c r="I62" s="114">
        <f>412.72+85.59</f>
        <v>498.31000000000006</v>
      </c>
      <c r="J62" s="114">
        <f>0.04+10.06</f>
        <v>10.1</v>
      </c>
      <c r="K62" s="114">
        <f>+G62+H62-I62-J62</f>
        <v>113.71999999999994</v>
      </c>
      <c r="L62" s="114"/>
      <c r="Q62" s="125" t="s">
        <v>61</v>
      </c>
      <c r="R62" s="105">
        <f>+J58+J60+J62+J64</f>
        <v>15.22</v>
      </c>
    </row>
    <row r="63" spans="5:19" ht="18.75" customHeight="1">
      <c r="E63" s="113"/>
      <c r="F63" t="s">
        <v>64</v>
      </c>
      <c r="G63" s="120">
        <v>0</v>
      </c>
      <c r="H63" s="114">
        <f>0.34+2.35+14.25+71.55</f>
        <v>88.49</v>
      </c>
      <c r="I63" s="114">
        <f>16.94+71.55</f>
        <v>88.49</v>
      </c>
      <c r="J63" s="114">
        <v>0</v>
      </c>
      <c r="K63" s="114">
        <f t="shared" ref="K63" si="5">+G63+H63-I63-J63</f>
        <v>0</v>
      </c>
      <c r="L63" s="114"/>
      <c r="Q63" s="125" t="s">
        <v>60</v>
      </c>
      <c r="R63" s="105">
        <f>+I54+I60+I64</f>
        <v>23.59</v>
      </c>
    </row>
    <row r="64" spans="5:19" ht="18.75" customHeight="1" thickBot="1">
      <c r="E64" s="113"/>
      <c r="F64" t="s">
        <v>66</v>
      </c>
      <c r="G64" s="120">
        <v>0</v>
      </c>
      <c r="H64" s="114">
        <f>37.03+0.44</f>
        <v>37.47</v>
      </c>
      <c r="I64" s="114">
        <f>20.63+2.42+0.01</f>
        <v>23.06</v>
      </c>
      <c r="J64" s="105">
        <v>0.01</v>
      </c>
      <c r="K64" s="114">
        <f>+G64+H64-I64-J64</f>
        <v>14.4</v>
      </c>
      <c r="L64" s="114"/>
      <c r="R64" s="105">
        <f>+R63+I66</f>
        <v>23.76</v>
      </c>
      <c r="S64" s="105">
        <f>+I54+I59+I60+I64+I66</f>
        <v>24.07</v>
      </c>
    </row>
    <row r="65" spans="5:18" ht="18.75" customHeight="1" thickBot="1">
      <c r="E65" s="113"/>
      <c r="G65" s="120"/>
      <c r="H65" s="114"/>
      <c r="I65" s="114"/>
      <c r="J65" s="114"/>
      <c r="K65" s="134">
        <f>SUM(K62:K64)</f>
        <v>128.11999999999995</v>
      </c>
      <c r="L65" s="114"/>
    </row>
    <row r="66" spans="5:18" ht="18.75" customHeight="1">
      <c r="E66" s="113"/>
      <c r="F66" s="129" t="s">
        <v>50</v>
      </c>
      <c r="G66" s="120">
        <v>2.91</v>
      </c>
      <c r="H66" s="114">
        <f>0.77+0.43+0.06+0.12</f>
        <v>1.38</v>
      </c>
      <c r="I66" s="114">
        <f>0.12+0.05</f>
        <v>0.16999999999999998</v>
      </c>
      <c r="J66"/>
      <c r="K66" s="114">
        <f>+G66+H66-I66</f>
        <v>4.12</v>
      </c>
      <c r="R66" s="105">
        <f>+H57+H58+H62+H63+H64</f>
        <v>794.21</v>
      </c>
    </row>
    <row r="67" spans="5:18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</row>
    <row r="68" spans="5:18" ht="18.75" customHeight="1" thickBot="1">
      <c r="E68" s="121" t="s">
        <v>73</v>
      </c>
      <c r="H68" s="114"/>
      <c r="I68" s="114"/>
      <c r="J68"/>
      <c r="K68" s="131">
        <f>+K46+K51+K56+K61+K65+K66+K67</f>
        <v>134.60999999999996</v>
      </c>
      <c r="M68" s="105">
        <f>+K51+K66+K67</f>
        <v>5.13</v>
      </c>
    </row>
    <row r="69" spans="5:18" ht="18.75" customHeight="1">
      <c r="E69" s="121" t="s">
        <v>74</v>
      </c>
      <c r="H69" s="114"/>
      <c r="I69" s="114"/>
      <c r="J69"/>
      <c r="K69" s="135"/>
      <c r="M69" s="105"/>
    </row>
    <row r="70" spans="5:18" ht="15.75" customHeight="1">
      <c r="E70" s="136" t="s">
        <v>75</v>
      </c>
      <c r="G70" s="120">
        <v>158.22</v>
      </c>
      <c r="H70" s="114">
        <f>41.05+1.59</f>
        <v>42.64</v>
      </c>
      <c r="J70" s="137"/>
      <c r="K70" s="114">
        <f>+G70-H70-I70-J70</f>
        <v>115.58</v>
      </c>
    </row>
    <row r="71" spans="5:18" ht="15.75" customHeight="1">
      <c r="E71" s="138" t="s">
        <v>63</v>
      </c>
      <c r="G71" s="120">
        <v>6</v>
      </c>
      <c r="H71" s="114">
        <v>3.5</v>
      </c>
      <c r="J71" s="137"/>
      <c r="K71" s="114">
        <f t="shared" ref="K71:K72" si="6">+G71-H71-I71-J71</f>
        <v>2.5</v>
      </c>
    </row>
    <row r="72" spans="5:18" ht="15.75" customHeight="1" thickBot="1">
      <c r="E72" s="138" t="s">
        <v>76</v>
      </c>
      <c r="G72" s="120">
        <v>2.33</v>
      </c>
      <c r="H72" s="114">
        <v>0</v>
      </c>
      <c r="J72" s="137"/>
      <c r="K72" s="114">
        <f t="shared" si="6"/>
        <v>2.33</v>
      </c>
    </row>
    <row r="73" spans="5:18" ht="18.75" customHeight="1" thickBot="1">
      <c r="E73" s="136"/>
      <c r="H73" s="114"/>
      <c r="I73" s="114"/>
      <c r="J73"/>
      <c r="K73" s="131">
        <f>SUM(K70:K72)</f>
        <v>120.41</v>
      </c>
      <c r="M73" s="105"/>
    </row>
    <row r="74" spans="5:18" ht="18.75" customHeight="1">
      <c r="E74" s="121" t="s">
        <v>77</v>
      </c>
    </row>
    <row r="75" spans="5:18" ht="15.75" customHeight="1">
      <c r="E75" s="136" t="s">
        <v>63</v>
      </c>
      <c r="J75" s="137">
        <v>0</v>
      </c>
      <c r="K75" s="114">
        <f>+K5-J75</f>
        <v>27.870000000000005</v>
      </c>
    </row>
    <row r="76" spans="5:18" ht="18" customHeight="1">
      <c r="E76" s="136" t="s">
        <v>75</v>
      </c>
      <c r="J76" s="105">
        <v>0</v>
      </c>
      <c r="K76" s="114">
        <f>+K6</f>
        <v>1911.51</v>
      </c>
    </row>
    <row r="77" spans="5:18" ht="15.75" customHeight="1">
      <c r="E77" s="136" t="s">
        <v>66</v>
      </c>
      <c r="J77" s="137">
        <v>0</v>
      </c>
      <c r="K77" s="114">
        <f>+K8-J77</f>
        <v>250</v>
      </c>
    </row>
    <row r="78" spans="5:18" ht="15.75" customHeight="1" thickBot="1">
      <c r="E78" s="136" t="s">
        <v>78</v>
      </c>
      <c r="J78" s="137">
        <v>0</v>
      </c>
      <c r="K78" s="114">
        <f>+K15-J78</f>
        <v>112.53</v>
      </c>
    </row>
    <row r="79" spans="5:18" ht="18.75" customHeight="1" thickBot="1">
      <c r="E79" s="121" t="s">
        <v>79</v>
      </c>
      <c r="J79" s="139">
        <f>SUM(J75:J78)</f>
        <v>0</v>
      </c>
      <c r="K79" s="140">
        <f>SUM(K75:K78)</f>
        <v>2301.9100000000003</v>
      </c>
    </row>
    <row r="80" spans="5:18" ht="23.25" customHeight="1" thickBot="1">
      <c r="E80" s="121" t="s">
        <v>80</v>
      </c>
      <c r="K80" s="141">
        <f>+K68+K73+K79</f>
        <v>2556.9300000000003</v>
      </c>
    </row>
    <row r="81" spans="5:11" ht="18.75" customHeight="1" thickBot="1">
      <c r="E81" s="138" t="s">
        <v>150</v>
      </c>
      <c r="K81" s="142">
        <f>+H20</f>
        <v>2410.5699999999997</v>
      </c>
    </row>
    <row r="82" spans="5:11" ht="23.25" customHeight="1" thickBot="1">
      <c r="E82" s="121" t="s">
        <v>82</v>
      </c>
      <c r="K82" s="143">
        <f>+K81-K80</f>
        <v>-146.36000000000058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ก.ค.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50"/>
  </sheetPr>
  <dimension ref="A1:S109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C14" sqref="C14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131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132</v>
      </c>
      <c r="E3" s="1" t="s">
        <v>5</v>
      </c>
      <c r="F3" s="2" t="s">
        <v>9</v>
      </c>
      <c r="G3" s="3" t="s">
        <v>7</v>
      </c>
      <c r="H3" s="5" t="s">
        <v>133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474.5</v>
      </c>
      <c r="H4" s="16">
        <f>SUM(H5:H8)</f>
        <v>11541.12</v>
      </c>
      <c r="I4" s="17">
        <f>SUM(I5:I8)</f>
        <v>2900</v>
      </c>
      <c r="J4" s="18">
        <f>SUM(J5:J8)</f>
        <v>710.62</v>
      </c>
      <c r="K4" s="19">
        <f>SUM(K5:K8)</f>
        <v>2189.38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110.4+109.88+102.59+93.65</f>
        <v>416.52</v>
      </c>
      <c r="H5" s="27">
        <f>+F5+G5</f>
        <v>8238.35</v>
      </c>
      <c r="I5" s="28">
        <v>650</v>
      </c>
      <c r="J5" s="29">
        <f>550.1+29.5+42.53</f>
        <v>622.13</v>
      </c>
      <c r="K5" s="30">
        <f>+I5-J5</f>
        <v>27.870000000000005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29.38+14.35+14.25</f>
        <v>57.98</v>
      </c>
      <c r="H6" s="27">
        <f>+F6+G6</f>
        <v>3018.17</v>
      </c>
      <c r="I6" s="33">
        <v>2000</v>
      </c>
      <c r="J6" s="34">
        <f>0.34+2.35+14.25+71.55</f>
        <v>88.49</v>
      </c>
      <c r="K6" s="35">
        <f>+I6-J6</f>
        <v>1911.51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21.590000000000003</v>
      </c>
      <c r="H9" s="16">
        <f>SUM(H10:H18)</f>
        <v>2766.17</v>
      </c>
      <c r="I9" s="17">
        <f>SUM(I15:I16)</f>
        <v>150</v>
      </c>
      <c r="J9" s="50">
        <f>SUM(J15:J16)</f>
        <v>37.029999999999994</v>
      </c>
      <c r="K9" s="51">
        <f>SUM(K15:K16)</f>
        <v>112.97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663.07900000000006</v>
      </c>
      <c r="D10" s="24">
        <f>SUM(O11:O17)</f>
        <v>9698.8690000000006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20.53</v>
      </c>
      <c r="D11" s="58">
        <f>+B11+C11</f>
        <v>697.08999999999992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697.08999999999992</v>
      </c>
    </row>
    <row r="12" spans="1:15" s="20" customFormat="1" ht="23.25">
      <c r="A12" s="21" t="s">
        <v>29</v>
      </c>
      <c r="B12" s="31">
        <v>679.13</v>
      </c>
      <c r="C12" s="32">
        <v>32.700000000000003</v>
      </c>
      <c r="D12" s="58">
        <f t="shared" ref="D12:D17" si="2">+B12+C12</f>
        <v>711.83</v>
      </c>
      <c r="E12" s="21" t="s">
        <v>30</v>
      </c>
      <c r="F12" s="31">
        <v>83.69</v>
      </c>
      <c r="G12" s="32">
        <v>2.76</v>
      </c>
      <c r="H12" s="27">
        <f t="shared" si="0"/>
        <v>86.45</v>
      </c>
      <c r="I12" s="33"/>
      <c r="J12" s="43">
        <v>0</v>
      </c>
      <c r="K12" s="44">
        <f>+I12-J12</f>
        <v>0</v>
      </c>
      <c r="L12" s="57"/>
      <c r="O12" s="59">
        <f t="shared" si="1"/>
        <v>711.83</v>
      </c>
    </row>
    <row r="13" spans="1:15" s="20" customFormat="1" ht="23.25">
      <c r="A13" s="21" t="s">
        <v>31</v>
      </c>
      <c r="B13" s="31">
        <v>256.90000000000003</v>
      </c>
      <c r="C13" s="32">
        <v>7.63</v>
      </c>
      <c r="D13" s="58">
        <f t="shared" si="2"/>
        <v>264.53000000000003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264.53000000000003</v>
      </c>
    </row>
    <row r="14" spans="1:15" s="20" customFormat="1" ht="23.25">
      <c r="A14" s="21" t="s">
        <v>33</v>
      </c>
      <c r="B14" s="31">
        <v>6054.08</v>
      </c>
      <c r="C14" s="32">
        <v>506.22</v>
      </c>
      <c r="D14" s="58">
        <f t="shared" si="2"/>
        <v>6560.3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6560.3</v>
      </c>
    </row>
    <row r="15" spans="1:15" s="20" customFormat="1" ht="23.25">
      <c r="A15" s="21" t="s">
        <v>35</v>
      </c>
      <c r="B15" s="60">
        <v>84.41</v>
      </c>
      <c r="C15" s="32">
        <v>2.0699999999999998</v>
      </c>
      <c r="D15" s="58">
        <f t="shared" si="2"/>
        <v>86.47999999999999</v>
      </c>
      <c r="E15" s="21" t="s">
        <v>36</v>
      </c>
      <c r="F15" s="31">
        <v>1011.25</v>
      </c>
      <c r="G15" s="32">
        <f>16.34+2.5-0.02+0.01</f>
        <v>18.830000000000002</v>
      </c>
      <c r="H15" s="27">
        <f t="shared" si="0"/>
        <v>1030.08</v>
      </c>
      <c r="I15" s="33">
        <v>150</v>
      </c>
      <c r="J15" s="61">
        <f>33.87+2.97+0.01+0.18</f>
        <v>37.029999999999994</v>
      </c>
      <c r="K15" s="35">
        <f>+I15-J15-J16</f>
        <v>112.97</v>
      </c>
      <c r="L15" s="57"/>
      <c r="O15" s="59">
        <f t="shared" si="1"/>
        <v>86.47999999999999</v>
      </c>
    </row>
    <row r="16" spans="1:15" s="20" customFormat="1" ht="23.25">
      <c r="A16" s="21" t="s">
        <v>37</v>
      </c>
      <c r="B16" s="62">
        <v>440.08</v>
      </c>
      <c r="C16" s="32">
        <v>31.04</v>
      </c>
      <c r="D16" s="58">
        <f t="shared" si="2"/>
        <v>471.12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471.12</v>
      </c>
    </row>
    <row r="17" spans="1:18" s="20" customFormat="1" ht="23.25">
      <c r="A17" s="21" t="s">
        <v>39</v>
      </c>
      <c r="B17" s="65">
        <v>844.63</v>
      </c>
      <c r="C17" s="32">
        <v>62.889000000000003</v>
      </c>
      <c r="D17" s="58">
        <f t="shared" si="2"/>
        <v>907.51900000000001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907.51900000000001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496.09000000000003</v>
      </c>
      <c r="H19" s="83">
        <f>+H4+H9</f>
        <v>14307.29</v>
      </c>
      <c r="I19" s="19">
        <f>+I4+I9</f>
        <v>3050</v>
      </c>
      <c r="J19" s="84">
        <f>+J4+J9</f>
        <v>747.65</v>
      </c>
      <c r="K19" s="51">
        <f>+K4+K9</f>
        <v>2302.35</v>
      </c>
      <c r="M19" s="20">
        <f>F20+G20</f>
        <v>2464.8089999999997</v>
      </c>
      <c r="O19" s="85"/>
    </row>
    <row r="20" spans="1:18" s="20" customFormat="1" ht="23.25">
      <c r="A20" s="86"/>
      <c r="B20" s="74"/>
      <c r="C20" s="71"/>
      <c r="D20" s="80"/>
      <c r="E20" s="87" t="s">
        <v>134</v>
      </c>
      <c r="F20" s="88">
        <f>B22-F19</f>
        <v>2297.8199999999997</v>
      </c>
      <c r="G20" s="89">
        <f>C22-G19</f>
        <v>166.98900000000003</v>
      </c>
      <c r="H20" s="90">
        <f>+D22-H19</f>
        <v>2464.8090000000011</v>
      </c>
      <c r="I20" s="225" t="s">
        <v>135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136</v>
      </c>
      <c r="F21" s="95"/>
      <c r="G21" s="96"/>
      <c r="H21" s="97"/>
      <c r="I21" s="214" t="s">
        <v>137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-2464.8090000000011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663.07900000000006</v>
      </c>
      <c r="D22" s="100">
        <f>SUM(D4:D10)</f>
        <v>16772.099000000002</v>
      </c>
      <c r="E22" s="101" t="s">
        <v>46</v>
      </c>
      <c r="F22" s="102">
        <f>SUM(F19:F20)</f>
        <v>16109.02</v>
      </c>
      <c r="G22" s="103">
        <f>SUM(G19:G20)</f>
        <v>663.07900000000006</v>
      </c>
      <c r="H22" s="102">
        <f>+H19+H20</f>
        <v>16772.099000000002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74"/>
      <c r="K25" s="174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2464.8090000000011</v>
      </c>
      <c r="J26" s="111">
        <f>+F39</f>
        <v>303.70999999999998</v>
      </c>
      <c r="K26" s="112">
        <f>+I26-J26</f>
        <v>2161.0990000000011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4.05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1.999999999999999E-2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1.2800000000000098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297.30999999999995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303.70999999999998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9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9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9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  <c r="R51" s="105">
        <f>+G43+G49+G54+G60</f>
        <v>2.02</v>
      </c>
    </row>
    <row r="52" spans="5:19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9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 t="shared" ref="K53:K55" si="3">+G53+H53-I53-J53</f>
        <v>0</v>
      </c>
    </row>
    <row r="54" spans="5:19" ht="15.75" customHeight="1" thickBot="1">
      <c r="E54" s="113"/>
      <c r="F54" t="s">
        <v>66</v>
      </c>
      <c r="G54" s="120">
        <v>0.15</v>
      </c>
      <c r="H54" s="114">
        <v>0</v>
      </c>
      <c r="I54" s="114">
        <v>0.13</v>
      </c>
      <c r="J54" s="114">
        <v>0</v>
      </c>
      <c r="K54" s="114">
        <f t="shared" si="3"/>
        <v>1.999999999999999E-2</v>
      </c>
    </row>
    <row r="55" spans="5:19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 t="shared" si="3"/>
        <v>0</v>
      </c>
      <c r="L55" s="114">
        <f>SUM(K52:K55)</f>
        <v>1.999999999999999E-2</v>
      </c>
      <c r="M55" s="105">
        <f>SUM(K52:K55)</f>
        <v>1.999999999999999E-2</v>
      </c>
    </row>
    <row r="56" spans="5:19" ht="18.75" customHeight="1" thickBot="1">
      <c r="E56" s="113"/>
      <c r="F56" s="128"/>
      <c r="G56" s="120"/>
      <c r="H56" s="114"/>
      <c r="I56" s="114"/>
      <c r="J56" s="114"/>
      <c r="K56" s="131">
        <f>SUM(K52:K55)</f>
        <v>1.999999999999999E-2</v>
      </c>
      <c r="L56" s="114"/>
    </row>
    <row r="57" spans="5:19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9" ht="18.75" customHeight="1">
      <c r="E58" s="113"/>
      <c r="F58" t="s">
        <v>64</v>
      </c>
      <c r="G58" s="120">
        <v>4.95</v>
      </c>
      <c r="H58" s="114">
        <f>15.38+3.37+21.81+0.49</f>
        <v>41.050000000000004</v>
      </c>
      <c r="I58" s="114">
        <f>26.7+14.35</f>
        <v>41.05</v>
      </c>
      <c r="J58" s="114">
        <v>4.95</v>
      </c>
      <c r="K58" s="114">
        <f t="shared" ref="K58" si="4">+G58+H58-I58-J58</f>
        <v>9.7699626167013776E-15</v>
      </c>
      <c r="L58" s="114"/>
    </row>
    <row r="59" spans="5:19" ht="18.75" customHeight="1">
      <c r="E59" s="113"/>
      <c r="F59" s="133" t="s">
        <v>71</v>
      </c>
      <c r="G59" s="120">
        <v>0.33</v>
      </c>
      <c r="H59" s="114">
        <v>0</v>
      </c>
      <c r="I59" s="114">
        <f>0.13+0.18</f>
        <v>0.31</v>
      </c>
      <c r="J59" s="114">
        <v>0</v>
      </c>
      <c r="K59" s="114">
        <f>+G59+H59-I59-J59</f>
        <v>2.0000000000000018E-2</v>
      </c>
      <c r="L59" s="114"/>
    </row>
    <row r="60" spans="5:19" ht="18.75" customHeight="1" thickBot="1">
      <c r="E60" s="113"/>
      <c r="F60" t="s">
        <v>66</v>
      </c>
      <c r="G60" s="120">
        <f>1.9-0.08</f>
        <v>1.8199999999999998</v>
      </c>
      <c r="H60" s="114">
        <v>0</v>
      </c>
      <c r="I60" s="114">
        <f>0.37+0.01+0.02</f>
        <v>0.4</v>
      </c>
      <c r="J60" s="105">
        <f>0.15+0.01</f>
        <v>0.16</v>
      </c>
      <c r="K60" s="114">
        <f>+G60+H60-I60-J60</f>
        <v>1.26</v>
      </c>
      <c r="L60" s="114"/>
      <c r="R60" s="105">
        <f>+K43+K49+K54+K60</f>
        <v>1.33</v>
      </c>
    </row>
    <row r="61" spans="5:19" ht="18.75" customHeight="1" thickBot="1">
      <c r="E61" s="113"/>
      <c r="G61" s="120"/>
      <c r="H61" s="114"/>
      <c r="I61" s="114"/>
      <c r="K61" s="134">
        <f>SUM(K57:K60)</f>
        <v>1.2800000000000098</v>
      </c>
      <c r="L61" s="114"/>
    </row>
    <row r="62" spans="5:19" ht="18.75" customHeight="1">
      <c r="E62" s="121" t="s">
        <v>72</v>
      </c>
      <c r="F62" t="s">
        <v>63</v>
      </c>
      <c r="G62" s="120">
        <v>0</v>
      </c>
      <c r="H62" s="114">
        <f>550.1+29.5+42.53</f>
        <v>622.13</v>
      </c>
      <c r="I62" s="114">
        <f>106.6+109.88+102.59+93.65</f>
        <v>412.72</v>
      </c>
      <c r="J62" s="114">
        <v>0.04</v>
      </c>
      <c r="K62" s="114">
        <f>+G62+H62-I62-J62</f>
        <v>209.36999999999998</v>
      </c>
      <c r="L62" s="114"/>
      <c r="Q62" s="125" t="s">
        <v>61</v>
      </c>
      <c r="R62" s="105">
        <f>+J58+J60+J62+J64</f>
        <v>5.16</v>
      </c>
    </row>
    <row r="63" spans="5:19" ht="18.75" customHeight="1">
      <c r="E63" s="113"/>
      <c r="F63" t="s">
        <v>64</v>
      </c>
      <c r="G63" s="120">
        <v>0</v>
      </c>
      <c r="H63" s="114">
        <f>0.34+2.35+14.25+71.55</f>
        <v>88.49</v>
      </c>
      <c r="I63" s="114">
        <f>0.34+2.35+14.25</f>
        <v>16.940000000000001</v>
      </c>
      <c r="J63" s="114">
        <v>0</v>
      </c>
      <c r="K63" s="114">
        <f t="shared" ref="K63" si="5">+G63+H63-I63-J63</f>
        <v>71.55</v>
      </c>
      <c r="L63" s="114"/>
      <c r="Q63" s="125" t="s">
        <v>60</v>
      </c>
      <c r="R63" s="105">
        <f>+I54+I60+I64</f>
        <v>21.160000000000004</v>
      </c>
    </row>
    <row r="64" spans="5:19" ht="18.75" customHeight="1" thickBot="1">
      <c r="E64" s="113"/>
      <c r="F64" t="s">
        <v>66</v>
      </c>
      <c r="G64" s="120">
        <v>0</v>
      </c>
      <c r="H64" s="114">
        <f>33.87+2.97+0.01+0.18</f>
        <v>37.029999999999994</v>
      </c>
      <c r="I64" s="114">
        <f>13.77+4.64-0.05-0.18+0.02+2.5+0.1+0.14-0.31</f>
        <v>20.630000000000003</v>
      </c>
      <c r="J64" s="105">
        <v>0.01</v>
      </c>
      <c r="K64" s="114">
        <f>+G64+H64-I64-J64</f>
        <v>16.38999999999999</v>
      </c>
      <c r="L64" s="114"/>
      <c r="R64" s="105">
        <f>+R63+I66</f>
        <v>21.280000000000005</v>
      </c>
      <c r="S64" s="105">
        <f>+I54+I59+I60+I64+I66</f>
        <v>21.590000000000003</v>
      </c>
    </row>
    <row r="65" spans="5:18" ht="18.75" customHeight="1" thickBot="1">
      <c r="E65" s="113"/>
      <c r="G65" s="120"/>
      <c r="H65" s="114"/>
      <c r="I65" s="114"/>
      <c r="J65" s="114"/>
      <c r="K65" s="134">
        <f>SUM(K62:K64)</f>
        <v>297.30999999999995</v>
      </c>
      <c r="L65" s="114"/>
    </row>
    <row r="66" spans="5:18" ht="18.75" customHeight="1">
      <c r="E66" s="113"/>
      <c r="F66" s="129" t="s">
        <v>50</v>
      </c>
      <c r="G66" s="120">
        <v>2.91</v>
      </c>
      <c r="H66" s="114">
        <f>0.77+0.43+0.06</f>
        <v>1.26</v>
      </c>
      <c r="I66" s="114">
        <f>0.06+0.1+0.06-0.1</f>
        <v>0.12</v>
      </c>
      <c r="J66"/>
      <c r="K66" s="114">
        <f>+G66+H66-I66</f>
        <v>4.05</v>
      </c>
      <c r="R66" s="105">
        <f>+H57+H58+H62+H63+H64</f>
        <v>792.19999999999993</v>
      </c>
    </row>
    <row r="67" spans="5:18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</row>
    <row r="68" spans="5:18" ht="18.75" customHeight="1" thickBot="1">
      <c r="E68" s="121" t="s">
        <v>73</v>
      </c>
      <c r="H68" s="114"/>
      <c r="I68" s="114"/>
      <c r="J68"/>
      <c r="K68" s="131">
        <f>+K46+K51+K56+K61+K65+K66+K67</f>
        <v>303.70999999999998</v>
      </c>
      <c r="M68" s="105">
        <f>+K51+K66+K67</f>
        <v>5.0599999999999996</v>
      </c>
    </row>
    <row r="69" spans="5:18" ht="18.75" customHeight="1">
      <c r="E69" s="121" t="s">
        <v>74</v>
      </c>
      <c r="H69" s="114"/>
      <c r="I69" s="114"/>
      <c r="J69"/>
      <c r="K69" s="135"/>
      <c r="M69" s="105"/>
    </row>
    <row r="70" spans="5:18" ht="15.75" customHeight="1">
      <c r="E70" s="136" t="s">
        <v>75</v>
      </c>
      <c r="G70" s="120">
        <v>158.22</v>
      </c>
      <c r="H70" s="114">
        <f>15.38+3.37+21.81+0.49</f>
        <v>41.050000000000004</v>
      </c>
      <c r="J70" s="137"/>
      <c r="K70" s="114">
        <f>+G70-H70-I70-J70</f>
        <v>117.16999999999999</v>
      </c>
    </row>
    <row r="71" spans="5:18" ht="15.75" customHeight="1">
      <c r="E71" s="138" t="s">
        <v>63</v>
      </c>
      <c r="G71" s="120">
        <v>6</v>
      </c>
      <c r="H71" s="114">
        <v>3.5</v>
      </c>
      <c r="J71" s="137"/>
      <c r="K71" s="114">
        <f t="shared" ref="K71:K72" si="6">+G71-H71-I71-J71</f>
        <v>2.5</v>
      </c>
    </row>
    <row r="72" spans="5:18" ht="15.75" customHeight="1" thickBot="1">
      <c r="E72" s="138" t="s">
        <v>76</v>
      </c>
      <c r="G72" s="120">
        <v>2.33</v>
      </c>
      <c r="H72" s="114">
        <v>0</v>
      </c>
      <c r="J72" s="137"/>
      <c r="K72" s="114">
        <f t="shared" si="6"/>
        <v>2.33</v>
      </c>
    </row>
    <row r="73" spans="5:18" ht="18.75" customHeight="1" thickBot="1">
      <c r="E73" s="136"/>
      <c r="H73" s="114"/>
      <c r="I73" s="114"/>
      <c r="J73"/>
      <c r="K73" s="131">
        <f>SUM(K70:K72)</f>
        <v>121.99999999999999</v>
      </c>
      <c r="M73" s="105"/>
    </row>
    <row r="74" spans="5:18" ht="18.75" customHeight="1">
      <c r="E74" s="121" t="s">
        <v>77</v>
      </c>
    </row>
    <row r="75" spans="5:18" ht="15.75" customHeight="1">
      <c r="E75" s="136" t="s">
        <v>63</v>
      </c>
      <c r="J75" s="137">
        <v>0</v>
      </c>
      <c r="K75" s="114">
        <f>+K5-J75</f>
        <v>27.870000000000005</v>
      </c>
    </row>
    <row r="76" spans="5:18" ht="18" customHeight="1">
      <c r="E76" s="136" t="s">
        <v>75</v>
      </c>
      <c r="J76" s="105">
        <v>0</v>
      </c>
      <c r="K76" s="114">
        <f>+K6</f>
        <v>1911.51</v>
      </c>
    </row>
    <row r="77" spans="5:18" ht="15.75" customHeight="1">
      <c r="E77" s="136" t="s">
        <v>66</v>
      </c>
      <c r="J77" s="137">
        <v>0</v>
      </c>
      <c r="K77" s="114">
        <f>+K8-J77</f>
        <v>250</v>
      </c>
    </row>
    <row r="78" spans="5:18" ht="15.75" customHeight="1" thickBot="1">
      <c r="E78" s="136" t="s">
        <v>78</v>
      </c>
      <c r="J78" s="137">
        <v>0</v>
      </c>
      <c r="K78" s="114">
        <f>+K15-J78</f>
        <v>112.97</v>
      </c>
    </row>
    <row r="79" spans="5:18" ht="18.75" customHeight="1" thickBot="1">
      <c r="E79" s="121" t="s">
        <v>79</v>
      </c>
      <c r="J79" s="139">
        <f>SUM(J75:J78)</f>
        <v>0</v>
      </c>
      <c r="K79" s="140">
        <f>SUM(K75:K78)</f>
        <v>2302.35</v>
      </c>
    </row>
    <row r="80" spans="5:18" ht="23.25" customHeight="1" thickBot="1">
      <c r="E80" s="121" t="s">
        <v>80</v>
      </c>
      <c r="K80" s="141">
        <f>+K68+K73+K79</f>
        <v>2728.06</v>
      </c>
    </row>
    <row r="81" spans="5:11" ht="18.75" customHeight="1" thickBot="1">
      <c r="E81" s="138" t="s">
        <v>138</v>
      </c>
      <c r="K81" s="142">
        <f>+H20</f>
        <v>2464.8090000000011</v>
      </c>
    </row>
    <row r="82" spans="5:11" ht="23.25" customHeight="1" thickBot="1">
      <c r="E82" s="121" t="s">
        <v>82</v>
      </c>
      <c r="K82" s="143">
        <f>+K81-K80</f>
        <v>-263.25099999999884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มิ.ย.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X113"/>
  <sheetViews>
    <sheetView view="pageBreakPreview" zoomScale="90" zoomScaleNormal="90" zoomScaleSheetLayoutView="100" workbookViewId="0">
      <pane xSplit="1" ySplit="3" topLeftCell="B37" activePane="bottomRight" state="frozenSplit"/>
      <selection pane="topRight" activeCell="B1" sqref="B1"/>
      <selection pane="bottomLeft" activeCell="B4" sqref="B4"/>
      <selection pane="bottomRight" activeCell="H72" sqref="H72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339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340</v>
      </c>
      <c r="E3" s="1" t="s">
        <v>5</v>
      </c>
      <c r="F3" s="2" t="s">
        <v>201</v>
      </c>
      <c r="G3" s="3" t="s">
        <v>198</v>
      </c>
      <c r="H3" s="5" t="s">
        <v>341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681.37</v>
      </c>
      <c r="H4" s="16">
        <f>SUM(H5:H8)</f>
        <v>12573.02</v>
      </c>
      <c r="I4" s="17">
        <f>SUM(I5:I8)</f>
        <v>3140</v>
      </c>
      <c r="J4" s="18">
        <f>SUM(J5:J8)</f>
        <v>764.52</v>
      </c>
      <c r="K4" s="19">
        <f>SUM(K5:K8)</f>
        <v>2375.48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583.78</v>
      </c>
      <c r="H5" s="27">
        <f>+F5+G5</f>
        <v>9028.68</v>
      </c>
      <c r="I5" s="28">
        <v>640</v>
      </c>
      <c r="J5" s="29">
        <f>593.85+5+1+9.97+3.76+5.66</f>
        <v>619.24</v>
      </c>
      <c r="K5" s="30">
        <f>+I5-J5</f>
        <v>20.759999999999991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97.59</v>
      </c>
      <c r="H6" s="27">
        <f>+F6+G6</f>
        <v>3259.7400000000002</v>
      </c>
      <c r="I6" s="33">
        <v>1950</v>
      </c>
      <c r="J6" s="34">
        <f>3.21+4.36+9.78+5.9+6.03+21.76+94.24</f>
        <v>145.28</v>
      </c>
      <c r="K6" s="35">
        <f>+I6-J6</f>
        <v>1804.72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36.69</v>
      </c>
      <c r="H9" s="16">
        <f>SUM(H10:H18)</f>
        <v>2815.46</v>
      </c>
      <c r="I9" s="17">
        <f>SUM(I15:I16)</f>
        <v>160</v>
      </c>
      <c r="J9" s="50">
        <f>SUM(J15:J16)</f>
        <v>44.25</v>
      </c>
      <c r="K9" s="51">
        <f>SUM(K15:K16)</f>
        <v>115.75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953.58</v>
      </c>
      <c r="D10" s="24">
        <f>SUM(O11:O17)</f>
        <v>10976.78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26.37</v>
      </c>
      <c r="D11" s="58">
        <f>+B11+C11</f>
        <v>731.68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731.68</v>
      </c>
    </row>
    <row r="12" spans="1:15" s="20" customFormat="1" ht="23.25">
      <c r="A12" s="21" t="s">
        <v>29</v>
      </c>
      <c r="B12" s="31">
        <v>730.91</v>
      </c>
      <c r="C12" s="32">
        <v>46.08</v>
      </c>
      <c r="D12" s="58">
        <f t="shared" ref="D12:D17" si="2">+B12+C12</f>
        <v>776.99</v>
      </c>
      <c r="E12" s="21" t="s">
        <v>30</v>
      </c>
      <c r="F12" s="31">
        <v>86.44</v>
      </c>
      <c r="G12" s="32">
        <v>2.78</v>
      </c>
      <c r="H12" s="27">
        <f t="shared" si="0"/>
        <v>89.22</v>
      </c>
      <c r="I12" s="33"/>
      <c r="J12" s="43">
        <v>0</v>
      </c>
      <c r="K12" s="44">
        <f>+I12-J12</f>
        <v>0</v>
      </c>
      <c r="L12" s="57"/>
      <c r="O12" s="59">
        <f t="shared" si="1"/>
        <v>776.99</v>
      </c>
    </row>
    <row r="13" spans="1:15" s="20" customFormat="1" ht="23.25">
      <c r="A13" s="21" t="s">
        <v>31</v>
      </c>
      <c r="B13" s="31">
        <v>269.3</v>
      </c>
      <c r="C13" s="32">
        <v>11.13</v>
      </c>
      <c r="D13" s="58">
        <f t="shared" si="2"/>
        <v>280.43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280.43</v>
      </c>
    </row>
    <row r="14" spans="1:15" s="20" customFormat="1" ht="23.25">
      <c r="A14" s="21" t="s">
        <v>33</v>
      </c>
      <c r="B14" s="31">
        <v>6798</v>
      </c>
      <c r="C14" s="32">
        <v>703.77</v>
      </c>
      <c r="D14" s="58">
        <f t="shared" si="2"/>
        <v>7501.77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7501.77</v>
      </c>
    </row>
    <row r="15" spans="1:15" s="20" customFormat="1" ht="23.25">
      <c r="A15" s="21" t="s">
        <v>35</v>
      </c>
      <c r="B15" s="60">
        <v>87.09</v>
      </c>
      <c r="C15" s="32">
        <v>2.77</v>
      </c>
      <c r="D15" s="58">
        <f t="shared" si="2"/>
        <v>89.86</v>
      </c>
      <c r="E15" s="21" t="s">
        <v>36</v>
      </c>
      <c r="F15" s="31">
        <f>1042.74-0.05</f>
        <v>1042.69</v>
      </c>
      <c r="G15" s="32">
        <v>33.909999999999997</v>
      </c>
      <c r="H15" s="27">
        <f t="shared" si="0"/>
        <v>1076.6000000000001</v>
      </c>
      <c r="I15" s="33">
        <v>160</v>
      </c>
      <c r="J15" s="61">
        <f>36.42+6.97+0.31+2.03+0.01+0.03-1.84+0.25+0.07</f>
        <v>44.25</v>
      </c>
      <c r="K15" s="35">
        <f>+I15-J15-J16</f>
        <v>115.75</v>
      </c>
      <c r="L15" s="57"/>
      <c r="O15" s="59">
        <f t="shared" si="1"/>
        <v>89.86</v>
      </c>
    </row>
    <row r="16" spans="1:15" s="20" customFormat="1" ht="23.25">
      <c r="A16" s="21" t="s">
        <v>37</v>
      </c>
      <c r="B16" s="62">
        <v>490.18</v>
      </c>
      <c r="C16" s="32">
        <v>49.45</v>
      </c>
      <c r="D16" s="58">
        <f t="shared" si="2"/>
        <v>539.63</v>
      </c>
      <c r="E16" s="33"/>
      <c r="F16" s="31"/>
      <c r="G16" s="26"/>
      <c r="H16" s="27"/>
      <c r="I16" s="63"/>
      <c r="J16" s="64"/>
      <c r="K16" s="35"/>
      <c r="O16" s="59">
        <f t="shared" si="1"/>
        <v>539.63</v>
      </c>
    </row>
    <row r="17" spans="1:18" s="20" customFormat="1" ht="23.25">
      <c r="A17" s="21" t="s">
        <v>39</v>
      </c>
      <c r="B17" s="65">
        <v>942.41</v>
      </c>
      <c r="C17" s="32">
        <v>114.01</v>
      </c>
      <c r="D17" s="58">
        <f t="shared" si="2"/>
        <v>1056.42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1056.42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718.06</v>
      </c>
      <c r="H19" s="83">
        <f>+H4+H9</f>
        <v>15388.48</v>
      </c>
      <c r="I19" s="19">
        <f>+I4+I9</f>
        <v>3300</v>
      </c>
      <c r="J19" s="84">
        <f>+J4+J9</f>
        <v>808.77</v>
      </c>
      <c r="K19" s="51">
        <f>+K4+K9</f>
        <v>2491.23</v>
      </c>
      <c r="M19" s="20">
        <f>F20+G20</f>
        <v>2661.53</v>
      </c>
      <c r="O19" s="85"/>
    </row>
    <row r="20" spans="1:18" s="20" customFormat="1" ht="23.25">
      <c r="A20" s="86"/>
      <c r="B20" s="74"/>
      <c r="C20" s="71"/>
      <c r="D20" s="80"/>
      <c r="E20" s="87" t="s">
        <v>347</v>
      </c>
      <c r="F20" s="88">
        <f>B22-F19</f>
        <v>2426.0100000000002</v>
      </c>
      <c r="G20" s="89">
        <f>C22-G19</f>
        <v>235.5200000000001</v>
      </c>
      <c r="H20" s="90">
        <f>+D22-H19</f>
        <v>2661.5300000000025</v>
      </c>
      <c r="I20" s="225" t="s">
        <v>349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348</v>
      </c>
      <c r="F21" s="95"/>
      <c r="G21" s="96"/>
      <c r="H21" s="97"/>
      <c r="I21" s="214" t="s">
        <v>350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-2661.5300000000025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953.58</v>
      </c>
      <c r="D22" s="100">
        <f>SUM(D4:D10)</f>
        <v>18050.010000000002</v>
      </c>
      <c r="E22" s="101" t="s">
        <v>46</v>
      </c>
      <c r="F22" s="102">
        <f>SUM(F19:F20)</f>
        <v>17096.43</v>
      </c>
      <c r="G22" s="103">
        <f>SUM(G19:G20)</f>
        <v>953.58</v>
      </c>
      <c r="H22" s="102">
        <f>+H19+H20</f>
        <v>18050.010000000002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10"/>
      <c r="K25" s="210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2661.5300000000025</v>
      </c>
      <c r="J26" s="111">
        <f>+F40</f>
        <v>84.790000000000049</v>
      </c>
      <c r="K26" s="112">
        <f>+I26-J26</f>
        <v>2576.7400000000025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5.6999999999999993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0.28000000000000003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1.6899999999999995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76.810000000000045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84.790000000000049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v>0.28000000000000003</v>
      </c>
      <c r="K61" s="114">
        <f>+G61+H61-I61-J61</f>
        <v>0.28000000000000003</v>
      </c>
      <c r="L61" s="114"/>
      <c r="R61" s="105"/>
    </row>
    <row r="62" spans="5:18" ht="18.75" customHeight="1" thickBot="1">
      <c r="E62" s="113"/>
      <c r="G62" s="120"/>
      <c r="H62" s="114"/>
      <c r="I62" s="114"/>
      <c r="K62" s="134">
        <f>SUM(K58:K61)</f>
        <v>0.28000000000000003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/>
      <c r="R63" s="105"/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/>
      <c r="R64" s="105"/>
    </row>
    <row r="65" spans="5:24" ht="18.75" customHeight="1" thickBot="1">
      <c r="E65" s="113"/>
      <c r="F65" t="s">
        <v>66</v>
      </c>
      <c r="G65" s="120">
        <f>4+0.01</f>
        <v>4.01</v>
      </c>
      <c r="H65" s="114">
        <v>0</v>
      </c>
      <c r="I65" s="114">
        <v>0.53</v>
      </c>
      <c r="J65" s="105">
        <v>1.79</v>
      </c>
      <c r="K65" s="114">
        <f>+G65+H65-I65-J65</f>
        <v>1.6899999999999995</v>
      </c>
      <c r="L65" s="114"/>
      <c r="R65" s="105"/>
      <c r="S65" s="105"/>
    </row>
    <row r="66" spans="5:24" ht="18.75" customHeight="1" thickBot="1">
      <c r="E66" s="113"/>
      <c r="G66" s="120"/>
      <c r="H66" s="114"/>
      <c r="I66" s="114"/>
      <c r="J66" s="114"/>
      <c r="K66" s="134">
        <f>SUM(K63:K65)</f>
        <v>1.6899999999999995</v>
      </c>
      <c r="L66" s="114"/>
    </row>
    <row r="67" spans="5:24" ht="18.75" customHeight="1">
      <c r="E67" s="121" t="s">
        <v>204</v>
      </c>
      <c r="F67" t="s">
        <v>63</v>
      </c>
      <c r="G67" s="120">
        <v>0</v>
      </c>
      <c r="H67" s="114">
        <f>609.82+3.76+5.66</f>
        <v>619.24</v>
      </c>
      <c r="I67" s="114">
        <v>582.78</v>
      </c>
      <c r="J67" s="114">
        <f>7.89+10.31+3.5</f>
        <v>21.7</v>
      </c>
      <c r="K67" s="114">
        <f>+G67+H67-I67-J67</f>
        <v>14.760000000000037</v>
      </c>
      <c r="L67" s="114"/>
      <c r="Q67" s="205">
        <f>+H67+H68+H69</f>
        <v>808.77</v>
      </c>
      <c r="R67" s="105">
        <f>+I63+I67</f>
        <v>583.78</v>
      </c>
    </row>
    <row r="68" spans="5:24" ht="18.75" customHeight="1">
      <c r="E68" s="113"/>
      <c r="F68" t="s">
        <v>64</v>
      </c>
      <c r="G68" s="120">
        <v>0</v>
      </c>
      <c r="H68" s="114">
        <f>3.21+4.36+9.78+5.9+6.03+21.76+94.24</f>
        <v>145.28</v>
      </c>
      <c r="I68" s="114">
        <v>89.55</v>
      </c>
      <c r="J68" s="114">
        <v>1.38</v>
      </c>
      <c r="K68" s="114">
        <f t="shared" ref="K68" si="6">+G68+H68-I68-J68</f>
        <v>54.35</v>
      </c>
      <c r="L68" s="114"/>
      <c r="Q68" s="125"/>
      <c r="R68" s="105">
        <f>+I59+I64+I68</f>
        <v>97.59</v>
      </c>
    </row>
    <row r="69" spans="5:24" ht="18.75" customHeight="1" thickBot="1">
      <c r="E69" s="113"/>
      <c r="F69" t="s">
        <v>66</v>
      </c>
      <c r="G69" s="120">
        <v>0</v>
      </c>
      <c r="H69" s="114">
        <f>44.18+0.07</f>
        <v>44.25</v>
      </c>
      <c r="I69" s="114">
        <v>35.71</v>
      </c>
      <c r="J69" s="105">
        <v>0.84</v>
      </c>
      <c r="K69" s="114">
        <f>+G69+H69-I69-J69</f>
        <v>7.6999999999999993</v>
      </c>
      <c r="L69" s="114"/>
      <c r="R69" s="105">
        <f>+I65+I69+I71</f>
        <v>36.690000000000005</v>
      </c>
      <c r="S69" s="105"/>
    </row>
    <row r="70" spans="5:24" ht="18.75" customHeight="1" thickBot="1">
      <c r="E70" s="113"/>
      <c r="G70" s="120"/>
      <c r="H70" s="114"/>
      <c r="I70" s="114"/>
      <c r="J70" s="114"/>
      <c r="K70" s="134">
        <f>SUM(K67:K69)</f>
        <v>76.810000000000045</v>
      </c>
      <c r="L70" s="114"/>
      <c r="R70" s="105">
        <f>SUM(R67:R69)</f>
        <v>718.06000000000006</v>
      </c>
      <c r="T70" s="105">
        <f>+J44+J60+J61+J63+J65+J67+J69</f>
        <v>24.689999999999998</v>
      </c>
    </row>
    <row r="71" spans="5:24" ht="18.75" customHeight="1">
      <c r="E71" s="113"/>
      <c r="F71" s="129" t="s">
        <v>50</v>
      </c>
      <c r="G71" s="120">
        <f>4.05+0.01</f>
        <v>4.0599999999999996</v>
      </c>
      <c r="H71" s="209">
        <v>2.09</v>
      </c>
      <c r="I71" s="114">
        <f>0.07+0.01+0.02+0.04+0.31</f>
        <v>0.45</v>
      </c>
      <c r="J71"/>
      <c r="K71" s="114">
        <f>+G71+H71-I71</f>
        <v>5.6999999999999993</v>
      </c>
      <c r="R71" s="105"/>
    </row>
    <row r="72" spans="5:24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/>
      <c r="V72" s="105">
        <f>+H67+H68+H69</f>
        <v>808.77</v>
      </c>
      <c r="W72" s="105">
        <f>SUM(I59:I71)</f>
        <v>718.06000000000006</v>
      </c>
      <c r="X72" s="105">
        <f>+J44+J60+J61+J63+J65+J67+J69</f>
        <v>24.689999999999998</v>
      </c>
    </row>
    <row r="73" spans="5:24" ht="18.75" customHeight="1" thickBot="1">
      <c r="E73" s="121" t="s">
        <v>73</v>
      </c>
      <c r="H73" s="114"/>
      <c r="I73" s="114"/>
      <c r="J73"/>
      <c r="K73" s="131">
        <f>+K47+K52+K57+K62+K70+K71+K72+K66</f>
        <v>84.790000000000049</v>
      </c>
      <c r="M73" s="105">
        <f>+K52+K71+K72</f>
        <v>6.0099999999999989</v>
      </c>
      <c r="R73" s="105"/>
    </row>
    <row r="74" spans="5:24" ht="18.75" customHeight="1">
      <c r="E74" s="121" t="s">
        <v>205</v>
      </c>
      <c r="H74" s="114"/>
      <c r="I74" s="114"/>
      <c r="J74"/>
      <c r="K74" s="135"/>
      <c r="M74" s="105"/>
      <c r="R74" s="105"/>
    </row>
    <row r="75" spans="5:24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/>
    </row>
    <row r="76" spans="5:24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/>
    </row>
    <row r="77" spans="5:24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24" ht="18.75" customHeight="1">
      <c r="E78" s="121" t="s">
        <v>206</v>
      </c>
      <c r="R78" s="105"/>
    </row>
    <row r="79" spans="5:24" ht="15.75" customHeight="1">
      <c r="E79" s="136" t="s">
        <v>63</v>
      </c>
      <c r="J79" s="137">
        <v>0</v>
      </c>
      <c r="K79" s="114">
        <f>+K5-J79</f>
        <v>20.759999999999991</v>
      </c>
    </row>
    <row r="80" spans="5:24" ht="18" customHeight="1">
      <c r="E80" s="136" t="s">
        <v>75</v>
      </c>
      <c r="J80" s="105">
        <v>0</v>
      </c>
      <c r="K80" s="114">
        <f>+K6</f>
        <v>1804.72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115.75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2491.23</v>
      </c>
    </row>
    <row r="84" spans="5:11" ht="23.25" customHeight="1" thickBot="1">
      <c r="E84" s="121" t="s">
        <v>80</v>
      </c>
      <c r="K84" s="141">
        <f>+K73+K77+K83</f>
        <v>2588.02</v>
      </c>
    </row>
    <row r="85" spans="5:11" ht="18.75" customHeight="1" thickBot="1">
      <c r="E85" s="198" t="s">
        <v>342</v>
      </c>
      <c r="K85" s="142">
        <f>+H20</f>
        <v>2661.5300000000025</v>
      </c>
    </row>
    <row r="86" spans="5:11" ht="23.25" customHeight="1" thickBot="1">
      <c r="E86" s="121" t="s">
        <v>82</v>
      </c>
      <c r="K86" s="143">
        <f>+K85-K84</f>
        <v>73.510000000002492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พ.ย.2558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00B050"/>
  </sheetPr>
  <dimension ref="A1:S46"/>
  <sheetViews>
    <sheetView zoomScaleSheetLayoutView="75" workbookViewId="0">
      <selection activeCell="F43" sqref="F43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19" ht="26.25">
      <c r="A1" s="213" t="s">
        <v>139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140</v>
      </c>
      <c r="C3" s="149"/>
      <c r="D3" s="149"/>
      <c r="E3" s="149"/>
      <c r="F3" s="149"/>
      <c r="G3" s="149"/>
      <c r="H3" s="149"/>
      <c r="J3" s="150">
        <f>SUM(J4:J7)</f>
        <v>2464.81</v>
      </c>
      <c r="K3" s="150"/>
      <c r="L3" s="149" t="s">
        <v>90</v>
      </c>
    </row>
    <row r="4" spans="1:19">
      <c r="C4" s="146" t="s">
        <v>91</v>
      </c>
      <c r="J4" s="151">
        <v>5.47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2160.5700000000002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294.88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3.89</v>
      </c>
      <c r="K7" s="151"/>
      <c r="L7" s="146" t="s">
        <v>90</v>
      </c>
      <c r="N7" s="147" t="s">
        <v>95</v>
      </c>
      <c r="P7" s="152">
        <f>SUM(J6:J7)</f>
        <v>298.77</v>
      </c>
      <c r="Q7" s="153"/>
      <c r="S7" s="173">
        <f>+J4+J6+J7</f>
        <v>304.24</v>
      </c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2464.8100000000004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2728.06</v>
      </c>
      <c r="K10" s="157"/>
      <c r="L10" s="156" t="s">
        <v>90</v>
      </c>
    </row>
    <row r="11" spans="1:19">
      <c r="D11" s="146" t="s">
        <v>98</v>
      </c>
      <c r="J11" s="151">
        <f>+I29</f>
        <v>2426.9299999999998</v>
      </c>
      <c r="K11" s="151"/>
      <c r="L11" s="146" t="s">
        <v>90</v>
      </c>
    </row>
    <row r="12" spans="1:19">
      <c r="D12" s="146" t="s">
        <v>99</v>
      </c>
      <c r="J12" s="151">
        <f>+I40</f>
        <v>301.12999999999994</v>
      </c>
      <c r="K12" s="151"/>
      <c r="L12" s="146" t="s">
        <v>90</v>
      </c>
      <c r="N12" s="147">
        <f>79.47+71.91+5.93-2.01</f>
        <v>155.30000000000001</v>
      </c>
      <c r="S12" s="173">
        <f>+J12+J15</f>
        <v>304.24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-263.2499999999996</v>
      </c>
      <c r="K13" s="157"/>
      <c r="L13" s="156" t="s">
        <v>90</v>
      </c>
      <c r="N13" s="159">
        <f>+J14+J11</f>
        <v>2160.5700000000002</v>
      </c>
    </row>
    <row r="14" spans="1:19">
      <c r="D14" s="146" t="s">
        <v>98</v>
      </c>
      <c r="J14" s="151">
        <f>+J5-I29</f>
        <v>-266.35999999999967</v>
      </c>
      <c r="K14" s="151"/>
      <c r="L14" s="146" t="s">
        <v>90</v>
      </c>
      <c r="N14" s="147">
        <f>+J15+J12</f>
        <v>304.24</v>
      </c>
    </row>
    <row r="15" spans="1:19">
      <c r="D15" s="146" t="s">
        <v>99</v>
      </c>
      <c r="J15" s="147">
        <f>+J4+J6+J7-J12</f>
        <v>3.1100000000000705</v>
      </c>
      <c r="K15" s="151"/>
      <c r="L15" s="146" t="s">
        <v>90</v>
      </c>
    </row>
    <row r="16" spans="1:19">
      <c r="I16" s="151"/>
    </row>
    <row r="17" spans="2:12">
      <c r="B17" s="160" t="s">
        <v>49</v>
      </c>
      <c r="I17" s="151"/>
    </row>
    <row r="18" spans="2:12">
      <c r="C18" s="156" t="s">
        <v>141</v>
      </c>
      <c r="J18" s="157">
        <f>+J3</f>
        <v>2464.81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139.47-21.81-0.49</f>
        <v>117.17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f>0.2-0.18</f>
        <v>2.0000000000000018E-2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122.49</v>
      </c>
      <c r="I27" s="157"/>
    </row>
    <row r="28" spans="2:12">
      <c r="D28" s="156" t="s">
        <v>112</v>
      </c>
      <c r="G28" s="164">
        <f>2430.86-14.25-114.26</f>
        <v>2302.35</v>
      </c>
      <c r="H28" s="147"/>
      <c r="I28" s="157"/>
    </row>
    <row r="29" spans="2:12">
      <c r="D29" s="146" t="s">
        <v>113</v>
      </c>
      <c r="G29" s="163">
        <f>2.5-0.41</f>
        <v>2.09</v>
      </c>
      <c r="H29" s="165">
        <f>SUM(G28:G29)</f>
        <v>2304.44</v>
      </c>
      <c r="I29" s="157">
        <f>+H27+H29</f>
        <v>2426.9299999999998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15.04-14.35</f>
        <v>0.6899999999999995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f>1.49-0.01-0.15</f>
        <v>1.33</v>
      </c>
      <c r="H34" s="147"/>
      <c r="I34" s="157"/>
    </row>
    <row r="35" spans="3:14">
      <c r="D35" s="146" t="s">
        <v>110</v>
      </c>
      <c r="G35" s="163">
        <f>2.69-0.06</f>
        <v>2.63</v>
      </c>
      <c r="H35" s="167">
        <f>SUM(G32:G35)</f>
        <v>4.6499999999999995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f>14.25-14.25+71.55</f>
        <v>71.55</v>
      </c>
      <c r="H37" s="167"/>
      <c r="I37" s="168"/>
      <c r="L37" s="156"/>
    </row>
    <row r="38" spans="3:14">
      <c r="D38" s="146" t="s">
        <v>115</v>
      </c>
      <c r="G38" s="164">
        <f>260.53+42.53-93.65-0.04</f>
        <v>209.36999999999995</v>
      </c>
      <c r="H38" s="167"/>
      <c r="I38" s="168"/>
      <c r="L38" s="156"/>
    </row>
    <row r="39" spans="3:14">
      <c r="D39" s="146" t="s">
        <v>116</v>
      </c>
      <c r="G39" s="164">
        <f>16.17+0.18-2.5+0.4+0.02-0.1-0.02+0.15</f>
        <v>14.300000000000002</v>
      </c>
      <c r="H39" s="167"/>
      <c r="I39" s="168"/>
      <c r="L39" s="156"/>
    </row>
    <row r="40" spans="3:14">
      <c r="D40" s="146" t="s">
        <v>110</v>
      </c>
      <c r="G40" s="163">
        <v>1.26</v>
      </c>
      <c r="H40" s="165">
        <f>SUM(G37:G40)</f>
        <v>296.47999999999996</v>
      </c>
      <c r="I40" s="168">
        <f>+H35+H40</f>
        <v>301.12999999999994</v>
      </c>
      <c r="J40" s="170">
        <f>+I29+I40</f>
        <v>2728.06</v>
      </c>
      <c r="L40" s="156"/>
    </row>
    <row r="41" spans="3:14" ht="21.75" thickBot="1">
      <c r="C41" s="156" t="s">
        <v>142</v>
      </c>
      <c r="I41" s="171"/>
      <c r="J41" s="172">
        <f>+J18-J40</f>
        <v>-263.25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3.8899999999999997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10 มิ.ย. 2557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00B050"/>
  </sheetPr>
  <dimension ref="A1:R109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A20" sqref="A20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123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124</v>
      </c>
      <c r="E3" s="1" t="s">
        <v>5</v>
      </c>
      <c r="F3" s="2" t="s">
        <v>9</v>
      </c>
      <c r="G3" s="3" t="s">
        <v>7</v>
      </c>
      <c r="H3" s="5" t="s">
        <v>125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366.6</v>
      </c>
      <c r="H4" s="16">
        <f>SUM(H5:H8)</f>
        <v>11433.22</v>
      </c>
      <c r="I4" s="17">
        <f>SUM(I5:I8)</f>
        <v>2900</v>
      </c>
      <c r="J4" s="18">
        <f>SUM(J5:J8)</f>
        <v>596.54000000000008</v>
      </c>
      <c r="K4" s="19">
        <f>SUM(K5:K8)</f>
        <v>2303.46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110.4+109.88+102.59</f>
        <v>322.87</v>
      </c>
      <c r="H5" s="27">
        <f>+F5+G5</f>
        <v>8144.7</v>
      </c>
      <c r="I5" s="28">
        <v>650</v>
      </c>
      <c r="J5" s="29">
        <f>550.1+29.5</f>
        <v>579.6</v>
      </c>
      <c r="K5" s="30">
        <f>+I5-J5</f>
        <v>70.399999999999977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29.38+14.35</f>
        <v>43.73</v>
      </c>
      <c r="H6" s="27">
        <f>+F6+G6</f>
        <v>3003.92</v>
      </c>
      <c r="I6" s="33">
        <v>2000</v>
      </c>
      <c r="J6" s="34">
        <f>0.34+2.35+14.25</f>
        <v>16.940000000000001</v>
      </c>
      <c r="K6" s="35">
        <f>+I6-J6</f>
        <v>1983.06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19.100000000000001</v>
      </c>
      <c r="H9" s="16">
        <f>SUM(H10:H18)</f>
        <v>2763.6800000000003</v>
      </c>
      <c r="I9" s="17">
        <f>SUM(I15:I16)</f>
        <v>150</v>
      </c>
      <c r="J9" s="50">
        <f>SUM(J15:J16)</f>
        <v>36.849999999999994</v>
      </c>
      <c r="K9" s="51">
        <f>SUM(K15:K16)</f>
        <v>113.15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547.64</v>
      </c>
      <c r="D10" s="24">
        <f>SUM(O11:O17)</f>
        <v>9583.43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17.36</v>
      </c>
      <c r="D11" s="58">
        <f>+B11+C11</f>
        <v>693.92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693.92</v>
      </c>
    </row>
    <row r="12" spans="1:15" s="20" customFormat="1" ht="23.25">
      <c r="A12" s="21" t="s">
        <v>29</v>
      </c>
      <c r="B12" s="31">
        <v>679.13</v>
      </c>
      <c r="C12" s="32">
        <v>29.52</v>
      </c>
      <c r="D12" s="58">
        <f t="shared" ref="D12:D17" si="2">+B12+C12</f>
        <v>708.65</v>
      </c>
      <c r="E12" s="21" t="s">
        <v>30</v>
      </c>
      <c r="F12" s="31">
        <v>83.69</v>
      </c>
      <c r="G12" s="32">
        <v>0</v>
      </c>
      <c r="H12" s="27">
        <f t="shared" si="0"/>
        <v>83.69</v>
      </c>
      <c r="I12" s="33"/>
      <c r="J12" s="43">
        <v>0</v>
      </c>
      <c r="K12" s="44">
        <f>+I12-J12</f>
        <v>0</v>
      </c>
      <c r="L12" s="57"/>
      <c r="O12" s="59">
        <f t="shared" si="1"/>
        <v>708.65</v>
      </c>
    </row>
    <row r="13" spans="1:15" s="20" customFormat="1" ht="23.25">
      <c r="A13" s="21" t="s">
        <v>31</v>
      </c>
      <c r="B13" s="31">
        <v>256.90000000000003</v>
      </c>
      <c r="C13" s="32">
        <v>6.82</v>
      </c>
      <c r="D13" s="58">
        <f t="shared" si="2"/>
        <v>263.72000000000003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263.72000000000003</v>
      </c>
    </row>
    <row r="14" spans="1:15" s="20" customFormat="1" ht="23.25">
      <c r="A14" s="21" t="s">
        <v>33</v>
      </c>
      <c r="B14" s="31">
        <v>6054.08</v>
      </c>
      <c r="C14" s="32">
        <v>411.96</v>
      </c>
      <c r="D14" s="58">
        <f t="shared" si="2"/>
        <v>6466.04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6466.04</v>
      </c>
    </row>
    <row r="15" spans="1:15" s="20" customFormat="1" ht="23.25">
      <c r="A15" s="21" t="s">
        <v>35</v>
      </c>
      <c r="B15" s="60">
        <v>84.41</v>
      </c>
      <c r="C15" s="32">
        <v>1.88</v>
      </c>
      <c r="D15" s="58">
        <f t="shared" si="2"/>
        <v>86.289999999999992</v>
      </c>
      <c r="E15" s="21" t="s">
        <v>36</v>
      </c>
      <c r="F15" s="31">
        <v>1011.25</v>
      </c>
      <c r="G15" s="32">
        <f>11.25+3.21+4.64</f>
        <v>19.100000000000001</v>
      </c>
      <c r="H15" s="27">
        <f t="shared" si="0"/>
        <v>1030.3499999999999</v>
      </c>
      <c r="I15" s="33">
        <v>150</v>
      </c>
      <c r="J15" s="61">
        <f>33.87+2.97+0.01</f>
        <v>36.849999999999994</v>
      </c>
      <c r="K15" s="35">
        <f>+I15-J15-J16</f>
        <v>113.15</v>
      </c>
      <c r="L15" s="57"/>
      <c r="O15" s="59">
        <f t="shared" si="1"/>
        <v>86.289999999999992</v>
      </c>
    </row>
    <row r="16" spans="1:15" s="20" customFormat="1" ht="23.25">
      <c r="A16" s="21" t="s">
        <v>37</v>
      </c>
      <c r="B16" s="62">
        <v>440.08</v>
      </c>
      <c r="C16" s="32">
        <v>25.21</v>
      </c>
      <c r="D16" s="58">
        <f t="shared" si="2"/>
        <v>465.28999999999996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465.28999999999996</v>
      </c>
    </row>
    <row r="17" spans="1:18" s="20" customFormat="1" ht="23.25">
      <c r="A17" s="21" t="s">
        <v>39</v>
      </c>
      <c r="B17" s="65">
        <v>844.63</v>
      </c>
      <c r="C17" s="32">
        <v>54.89</v>
      </c>
      <c r="D17" s="58">
        <f t="shared" si="2"/>
        <v>899.52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899.52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385.70000000000005</v>
      </c>
      <c r="H19" s="83">
        <f>+H4+H9</f>
        <v>14196.9</v>
      </c>
      <c r="I19" s="19">
        <f>+I4+I9</f>
        <v>3050</v>
      </c>
      <c r="J19" s="84">
        <f>+J4+J9</f>
        <v>633.3900000000001</v>
      </c>
      <c r="K19" s="51">
        <f>+K4+K9</f>
        <v>2416.61</v>
      </c>
      <c r="M19" s="20">
        <f>F20+G20</f>
        <v>2459.7599999999998</v>
      </c>
      <c r="O19" s="85"/>
    </row>
    <row r="20" spans="1:18" s="20" customFormat="1" ht="23.25">
      <c r="A20" s="86"/>
      <c r="B20" s="74"/>
      <c r="C20" s="71"/>
      <c r="D20" s="80"/>
      <c r="E20" s="87" t="s">
        <v>126</v>
      </c>
      <c r="F20" s="88">
        <f>B22-F19</f>
        <v>2297.8199999999997</v>
      </c>
      <c r="G20" s="89">
        <f>C22-G19</f>
        <v>161.93999999999994</v>
      </c>
      <c r="H20" s="90">
        <f>+D22-H19</f>
        <v>2459.7600000000002</v>
      </c>
      <c r="I20" s="225" t="s">
        <v>127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128</v>
      </c>
      <c r="F21" s="95"/>
      <c r="G21" s="96"/>
      <c r="H21" s="97"/>
      <c r="I21" s="214" t="s">
        <v>129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-2459.7600000000002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547.64</v>
      </c>
      <c r="D22" s="100">
        <f>SUM(D4:D10)</f>
        <v>16656.66</v>
      </c>
      <c r="E22" s="101" t="s">
        <v>46</v>
      </c>
      <c r="F22" s="102">
        <f>SUM(F19:F20)</f>
        <v>16109.02</v>
      </c>
      <c r="G22" s="103">
        <f>SUM(G19:G20)</f>
        <v>547.64</v>
      </c>
      <c r="H22" s="102">
        <f>+H19+H20</f>
        <v>16656.66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07"/>
      <c r="K25" s="107"/>
      <c r="L25" s="108"/>
    </row>
    <row r="26" spans="1:18" ht="29.25" hidden="1" customHeight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2459.7600000000002</v>
      </c>
      <c r="J26" s="111">
        <f>+F39</f>
        <v>299.90000000000003</v>
      </c>
      <c r="K26" s="112">
        <f>+I26-J26</f>
        <v>2159.86</v>
      </c>
      <c r="M26">
        <f>1410.94+620.48</f>
        <v>2031.42</v>
      </c>
    </row>
    <row r="27" spans="1:18" ht="29.25" hidden="1" customHeight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3.9499999999999997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0.15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1.4800000000000098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293.27000000000004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299.90000000000003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 customHeight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customHeight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customHeight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t="12.75" hidden="1" customHeight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3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3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3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</row>
    <row r="52" spans="5:13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3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>+G53+H53-I53-J53</f>
        <v>0</v>
      </c>
    </row>
    <row r="54" spans="5:13" ht="15.75" customHeight="1" thickBot="1">
      <c r="E54" s="113"/>
      <c r="F54" t="s">
        <v>66</v>
      </c>
      <c r="G54" s="120">
        <v>0.15</v>
      </c>
      <c r="H54" s="114">
        <v>0</v>
      </c>
      <c r="I54" s="114">
        <v>0</v>
      </c>
      <c r="J54" s="114">
        <v>0</v>
      </c>
      <c r="K54" s="114">
        <f>+G54+H54-I54-J54</f>
        <v>0.15</v>
      </c>
    </row>
    <row r="55" spans="5:13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>+G55+H55-I55-J55</f>
        <v>0</v>
      </c>
      <c r="L55" s="114">
        <f>SUM(K52:K55)</f>
        <v>0.15</v>
      </c>
      <c r="M55" s="105">
        <f>SUM(K52:K55)</f>
        <v>0.15</v>
      </c>
    </row>
    <row r="56" spans="5:13" ht="18.75" customHeight="1" thickBot="1">
      <c r="E56" s="113"/>
      <c r="F56" s="128"/>
      <c r="G56" s="120"/>
      <c r="H56" s="114"/>
      <c r="I56" s="114"/>
      <c r="J56" s="114"/>
      <c r="K56" s="131">
        <f>SUM(K52:K55)</f>
        <v>0.15</v>
      </c>
      <c r="L56" s="114"/>
    </row>
    <row r="57" spans="5:13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3" ht="18.75" customHeight="1">
      <c r="E58" s="113"/>
      <c r="F58" t="s">
        <v>64</v>
      </c>
      <c r="G58" s="120">
        <v>4.95</v>
      </c>
      <c r="H58" s="114">
        <f>15.38+3.37+21.81+0.49</f>
        <v>41.050000000000004</v>
      </c>
      <c r="I58" s="114">
        <f>26.7+14.35</f>
        <v>41.05</v>
      </c>
      <c r="J58" s="114">
        <v>4.95</v>
      </c>
      <c r="K58" s="114">
        <f>+G58+H58-I58-J58</f>
        <v>9.7699626167013776E-15</v>
      </c>
      <c r="L58" s="114"/>
    </row>
    <row r="59" spans="5:13" ht="18.75" customHeight="1">
      <c r="E59" s="113"/>
      <c r="F59" s="133" t="s">
        <v>71</v>
      </c>
      <c r="G59" s="120">
        <v>0.33</v>
      </c>
      <c r="H59" s="114">
        <v>0</v>
      </c>
      <c r="I59" s="114">
        <v>0.13</v>
      </c>
      <c r="J59" s="114">
        <v>0</v>
      </c>
      <c r="K59" s="114">
        <f>+G59+H59-I59-J59</f>
        <v>0.2</v>
      </c>
      <c r="L59" s="114"/>
    </row>
    <row r="60" spans="5:13" ht="18.75" customHeight="1" thickBot="1">
      <c r="E60" s="113"/>
      <c r="F60" t="s">
        <v>66</v>
      </c>
      <c r="G60" s="120">
        <f>1.9-0.08</f>
        <v>1.8199999999999998</v>
      </c>
      <c r="H60" s="114">
        <v>0</v>
      </c>
      <c r="I60" s="114">
        <f>0.37+0.01</f>
        <v>0.38</v>
      </c>
      <c r="J60" s="105">
        <f>0.15+0.01</f>
        <v>0.16</v>
      </c>
      <c r="K60" s="114">
        <f>+G60+H60-I60-J60</f>
        <v>1.28</v>
      </c>
      <c r="L60" s="114"/>
    </row>
    <row r="61" spans="5:13" ht="18.75" customHeight="1" thickBot="1">
      <c r="E61" s="113"/>
      <c r="G61" s="120"/>
      <c r="H61" s="114"/>
      <c r="I61" s="114"/>
      <c r="K61" s="134">
        <f>SUM(K57:K60)</f>
        <v>1.4800000000000098</v>
      </c>
      <c r="L61" s="114"/>
    </row>
    <row r="62" spans="5:13" ht="18.75" customHeight="1">
      <c r="E62" s="121" t="s">
        <v>72</v>
      </c>
      <c r="F62" t="s">
        <v>63</v>
      </c>
      <c r="G62" s="120">
        <v>0</v>
      </c>
      <c r="H62" s="114">
        <f>550.1+29.5</f>
        <v>579.6</v>
      </c>
      <c r="I62" s="114">
        <f>106.6+109.88+102.59</f>
        <v>319.07</v>
      </c>
      <c r="J62" s="114">
        <v>0</v>
      </c>
      <c r="K62" s="114">
        <f>+G62+H62-I62-J62</f>
        <v>260.53000000000003</v>
      </c>
      <c r="L62" s="114"/>
    </row>
    <row r="63" spans="5:13" ht="18.75" customHeight="1">
      <c r="E63" s="113"/>
      <c r="F63" t="s">
        <v>64</v>
      </c>
      <c r="G63" s="120">
        <v>0</v>
      </c>
      <c r="H63" s="114">
        <f>0.34+2.35+14.25</f>
        <v>16.940000000000001</v>
      </c>
      <c r="I63" s="114">
        <f>0.34+2.35</f>
        <v>2.69</v>
      </c>
      <c r="J63" s="114">
        <v>0</v>
      </c>
      <c r="K63" s="114">
        <f>+G63+H63-I63-J63</f>
        <v>14.250000000000002</v>
      </c>
      <c r="L63" s="114"/>
    </row>
    <row r="64" spans="5:13" ht="18.75" customHeight="1" thickBot="1">
      <c r="E64" s="113"/>
      <c r="F64" t="s">
        <v>66</v>
      </c>
      <c r="G64" s="120">
        <v>0</v>
      </c>
      <c r="H64" s="114">
        <f>33.87+2.97+0.01</f>
        <v>36.849999999999994</v>
      </c>
      <c r="I64" s="114">
        <f>13.77+4.64-0.05</f>
        <v>18.36</v>
      </c>
      <c r="J64" s="105">
        <v>0</v>
      </c>
      <c r="K64" s="114">
        <f>+G64+H64-I64-J64</f>
        <v>18.489999999999995</v>
      </c>
      <c r="L64" s="114"/>
    </row>
    <row r="65" spans="5:13" ht="18.75" customHeight="1" thickBot="1">
      <c r="E65" s="113"/>
      <c r="G65" s="120"/>
      <c r="H65" s="114"/>
      <c r="I65" s="114"/>
      <c r="J65" s="114"/>
      <c r="K65" s="134">
        <f>SUM(K62:K64)</f>
        <v>293.27000000000004</v>
      </c>
      <c r="L65" s="114"/>
    </row>
    <row r="66" spans="5:13" ht="18.75" customHeight="1">
      <c r="E66" s="113"/>
      <c r="F66" s="129" t="s">
        <v>50</v>
      </c>
      <c r="G66" s="120">
        <v>2.91</v>
      </c>
      <c r="H66" s="114">
        <f>0.77+0.43+0.06</f>
        <v>1.26</v>
      </c>
      <c r="I66" s="114">
        <f>0.06+0.1+0.06</f>
        <v>0.22</v>
      </c>
      <c r="J66"/>
      <c r="K66" s="114">
        <f>+G66+H66-I66</f>
        <v>3.9499999999999997</v>
      </c>
    </row>
    <row r="67" spans="5:13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</row>
    <row r="68" spans="5:13" ht="18.75" customHeight="1" thickBot="1">
      <c r="E68" s="121" t="s">
        <v>73</v>
      </c>
      <c r="H68" s="114"/>
      <c r="I68" s="114"/>
      <c r="J68"/>
      <c r="K68" s="131">
        <f>+K46+K51+K56+K61+K65+K66+K67</f>
        <v>299.90000000000003</v>
      </c>
      <c r="M68" s="105">
        <f>+K51+K66+K67</f>
        <v>4.9599999999999991</v>
      </c>
    </row>
    <row r="69" spans="5:13" ht="18.75" customHeight="1">
      <c r="E69" s="121" t="s">
        <v>74</v>
      </c>
      <c r="H69" s="114"/>
      <c r="I69" s="114"/>
      <c r="J69"/>
      <c r="K69" s="135"/>
      <c r="M69" s="105"/>
    </row>
    <row r="70" spans="5:13" ht="15.75" customHeight="1">
      <c r="E70" s="136" t="s">
        <v>75</v>
      </c>
      <c r="G70" s="120">
        <v>158.22</v>
      </c>
      <c r="H70" s="114">
        <f>15.38+3.37+21.81+0.49</f>
        <v>41.050000000000004</v>
      </c>
      <c r="J70" s="137"/>
      <c r="K70" s="114">
        <f>+G70-H70-I70-J70</f>
        <v>117.16999999999999</v>
      </c>
    </row>
    <row r="71" spans="5:13" ht="15.75" customHeight="1">
      <c r="E71" s="138" t="s">
        <v>63</v>
      </c>
      <c r="G71" s="120">
        <v>6</v>
      </c>
      <c r="H71" s="114">
        <v>3.5</v>
      </c>
      <c r="J71" s="137"/>
      <c r="K71" s="114">
        <f>+G71-H71-I71-J71</f>
        <v>2.5</v>
      </c>
    </row>
    <row r="72" spans="5:13" ht="15.75" customHeight="1" thickBot="1">
      <c r="E72" s="138" t="s">
        <v>76</v>
      </c>
      <c r="G72" s="120">
        <v>2.33</v>
      </c>
      <c r="H72" s="114">
        <v>0</v>
      </c>
      <c r="J72" s="137"/>
      <c r="K72" s="114">
        <f>+G72-H72-I72-J72</f>
        <v>2.33</v>
      </c>
    </row>
    <row r="73" spans="5:13" ht="18.75" customHeight="1" thickBot="1">
      <c r="E73" s="136"/>
      <c r="H73" s="114"/>
      <c r="I73" s="114"/>
      <c r="J73"/>
      <c r="K73" s="131">
        <f>SUM(K70:K72)</f>
        <v>121.99999999999999</v>
      </c>
      <c r="M73" s="105"/>
    </row>
    <row r="74" spans="5:13" ht="18.75" customHeight="1">
      <c r="E74" s="121" t="s">
        <v>77</v>
      </c>
    </row>
    <row r="75" spans="5:13" ht="15.75" customHeight="1">
      <c r="E75" s="136" t="s">
        <v>63</v>
      </c>
      <c r="J75" s="137">
        <v>0</v>
      </c>
      <c r="K75" s="114">
        <f>+K5-J75</f>
        <v>70.399999999999977</v>
      </c>
    </row>
    <row r="76" spans="5:13" ht="18" customHeight="1">
      <c r="E76" s="136" t="s">
        <v>75</v>
      </c>
      <c r="J76" s="105">
        <v>0</v>
      </c>
      <c r="K76" s="114">
        <f>+K6</f>
        <v>1983.06</v>
      </c>
    </row>
    <row r="77" spans="5:13" ht="15.75" customHeight="1">
      <c r="E77" s="136" t="s">
        <v>66</v>
      </c>
      <c r="J77" s="137">
        <v>0</v>
      </c>
      <c r="K77" s="114">
        <f>+K8-J77</f>
        <v>250</v>
      </c>
    </row>
    <row r="78" spans="5:13" ht="15.75" customHeight="1" thickBot="1">
      <c r="E78" s="136" t="s">
        <v>78</v>
      </c>
      <c r="J78" s="137">
        <v>0</v>
      </c>
      <c r="K78" s="114">
        <f>+K15-J78</f>
        <v>113.15</v>
      </c>
    </row>
    <row r="79" spans="5:13" ht="18.75" customHeight="1" thickBot="1">
      <c r="E79" s="121" t="s">
        <v>79</v>
      </c>
      <c r="J79" s="139">
        <f>SUM(J75:J78)</f>
        <v>0</v>
      </c>
      <c r="K79" s="140">
        <f>SUM(K75:K78)</f>
        <v>2416.61</v>
      </c>
    </row>
    <row r="80" spans="5:13" ht="23.25" customHeight="1" thickBot="1">
      <c r="E80" s="121" t="s">
        <v>80</v>
      </c>
      <c r="K80" s="141">
        <f>+K68+K73+K79</f>
        <v>2838.51</v>
      </c>
    </row>
    <row r="81" spans="5:11" ht="18.75" customHeight="1" thickBot="1">
      <c r="E81" s="138" t="s">
        <v>130</v>
      </c>
      <c r="K81" s="142">
        <f>+H20</f>
        <v>2459.7600000000002</v>
      </c>
    </row>
    <row r="82" spans="5:11" ht="23.25" customHeight="1" thickBot="1">
      <c r="E82" s="121" t="s">
        <v>82</v>
      </c>
      <c r="K82" s="143">
        <f>+K81-K80</f>
        <v>-378.75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เม.ย.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00B050"/>
  </sheetPr>
  <dimension ref="A1:S43"/>
  <sheetViews>
    <sheetView zoomScaleSheetLayoutView="75" workbookViewId="0">
      <selection activeCell="F22" sqref="F22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bestFit="1" customWidth="1"/>
    <col min="20" max="16384" width="9.140625" style="146"/>
  </cols>
  <sheetData>
    <row r="1" spans="1:19" ht="26.25">
      <c r="A1" s="213" t="s">
        <v>119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120</v>
      </c>
      <c r="C3" s="149"/>
      <c r="D3" s="149"/>
      <c r="E3" s="149"/>
      <c r="F3" s="149"/>
      <c r="G3" s="149"/>
      <c r="H3" s="149"/>
      <c r="J3" s="150">
        <f>SUM(J4:J7)</f>
        <v>2459.7599999999998</v>
      </c>
      <c r="K3" s="150"/>
      <c r="L3" s="149" t="s">
        <v>90</v>
      </c>
    </row>
    <row r="4" spans="1:19">
      <c r="C4" s="146" t="s">
        <v>91</v>
      </c>
      <c r="J4" s="151">
        <v>0.31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2162.84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292.72000000000003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3.89</v>
      </c>
      <c r="K7" s="151"/>
      <c r="L7" s="146" t="s">
        <v>90</v>
      </c>
      <c r="N7" s="147" t="s">
        <v>95</v>
      </c>
      <c r="P7" s="152">
        <f>SUM(J6:J7)</f>
        <v>296.61</v>
      </c>
      <c r="Q7" s="153"/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2459.7600000000002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2838.51</v>
      </c>
      <c r="K10" s="157"/>
      <c r="L10" s="156" t="s">
        <v>90</v>
      </c>
    </row>
    <row r="11" spans="1:19">
      <c r="D11" s="146" t="s">
        <v>98</v>
      </c>
      <c r="J11" s="151">
        <f>+I29</f>
        <v>2541.6000000000004</v>
      </c>
      <c r="K11" s="151"/>
      <c r="L11" s="146" t="s">
        <v>90</v>
      </c>
    </row>
    <row r="12" spans="1:19">
      <c r="D12" s="146" t="s">
        <v>99</v>
      </c>
      <c r="J12" s="151">
        <f>+I40</f>
        <v>296.91000000000003</v>
      </c>
      <c r="K12" s="151"/>
      <c r="L12" s="146" t="s">
        <v>90</v>
      </c>
      <c r="N12" s="147">
        <f>79.47+71.91+5.93-2.01</f>
        <v>155.30000000000001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-378.75000000000023</v>
      </c>
      <c r="K13" s="157"/>
      <c r="L13" s="156" t="s">
        <v>90</v>
      </c>
      <c r="N13" s="159">
        <f>+J14+J11</f>
        <v>2162.84</v>
      </c>
    </row>
    <row r="14" spans="1:19">
      <c r="D14" s="146" t="s">
        <v>98</v>
      </c>
      <c r="J14" s="151">
        <f>+J5-I29</f>
        <v>-378.76000000000022</v>
      </c>
      <c r="K14" s="151"/>
      <c r="L14" s="146" t="s">
        <v>90</v>
      </c>
      <c r="N14" s="147">
        <f>+J15+J12</f>
        <v>296.92</v>
      </c>
    </row>
    <row r="15" spans="1:19">
      <c r="D15" s="146" t="s">
        <v>99</v>
      </c>
      <c r="J15" s="147">
        <f>+J6+J7+0.31-J12</f>
        <v>9.9999999999909051E-3</v>
      </c>
      <c r="K15" s="151"/>
      <c r="L15" s="146" t="s">
        <v>90</v>
      </c>
    </row>
    <row r="16" spans="1:19">
      <c r="I16" s="151"/>
      <c r="S16" s="146">
        <f>0.42+0.13+1.78</f>
        <v>2.33</v>
      </c>
    </row>
    <row r="17" spans="2:12">
      <c r="B17" s="160" t="s">
        <v>49</v>
      </c>
      <c r="I17" s="151"/>
    </row>
    <row r="18" spans="2:12">
      <c r="C18" s="156" t="s">
        <v>121</v>
      </c>
      <c r="J18" s="157">
        <f>+J3</f>
        <v>2459.7599999999998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139.47-21.81-0.49</f>
        <v>117.17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v>0.2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122.67</v>
      </c>
      <c r="I27" s="157"/>
    </row>
    <row r="28" spans="2:12">
      <c r="D28" s="156" t="s">
        <v>112</v>
      </c>
      <c r="G28" s="164">
        <f>2430.86-14.25</f>
        <v>2416.61</v>
      </c>
      <c r="H28" s="147"/>
      <c r="I28" s="157"/>
    </row>
    <row r="29" spans="2:12">
      <c r="D29" s="146" t="s">
        <v>113</v>
      </c>
      <c r="G29" s="163">
        <f>2.85-0.11-0.42</f>
        <v>2.3200000000000003</v>
      </c>
      <c r="H29" s="165">
        <f>SUM(G28:G29)</f>
        <v>2418.9300000000003</v>
      </c>
      <c r="I29" s="157">
        <f>+H27+H29</f>
        <v>2541.6000000000004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15.04-14.35</f>
        <v>0.6899999999999995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f>1.49-0.01</f>
        <v>1.48</v>
      </c>
      <c r="H34" s="147"/>
      <c r="I34" s="157"/>
    </row>
    <row r="35" spans="3:14">
      <c r="D35" s="146" t="s">
        <v>110</v>
      </c>
      <c r="G35" s="163">
        <f>2.69-0.06</f>
        <v>2.63</v>
      </c>
      <c r="H35" s="167">
        <f>SUM(G32:G35)</f>
        <v>4.7999999999999989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v>14.25</v>
      </c>
      <c r="H37" s="167"/>
      <c r="I37" s="168"/>
      <c r="L37" s="156"/>
    </row>
    <row r="38" spans="3:14">
      <c r="D38" s="146" t="s">
        <v>115</v>
      </c>
      <c r="G38" s="164">
        <f>363.12-102.59</f>
        <v>260.52999999999997</v>
      </c>
      <c r="H38" s="167"/>
      <c r="I38" s="168"/>
      <c r="L38" s="156"/>
    </row>
    <row r="39" spans="3:14">
      <c r="D39" s="146" t="s">
        <v>116</v>
      </c>
      <c r="G39" s="164">
        <f>20.23-4.64+0.11+0.42+0.05</f>
        <v>16.170000000000002</v>
      </c>
      <c r="H39" s="167"/>
      <c r="I39" s="168"/>
      <c r="L39" s="156"/>
    </row>
    <row r="40" spans="3:14">
      <c r="D40" s="146" t="s">
        <v>110</v>
      </c>
      <c r="G40" s="163">
        <f>0.67+0.43+0.06</f>
        <v>1.1600000000000001</v>
      </c>
      <c r="H40" s="165">
        <f>SUM(G37:G40)</f>
        <v>292.11</v>
      </c>
      <c r="I40" s="168">
        <f>+H35+H40</f>
        <v>296.91000000000003</v>
      </c>
      <c r="J40" s="170">
        <f>+I29+I40</f>
        <v>2838.51</v>
      </c>
      <c r="L40" s="156"/>
    </row>
    <row r="41" spans="3:14" ht="21.75" thickBot="1">
      <c r="C41" s="156" t="s">
        <v>122</v>
      </c>
      <c r="I41" s="171"/>
      <c r="J41" s="172">
        <f>+J18-J40</f>
        <v>-378.75000000000045</v>
      </c>
      <c r="K41" s="168"/>
      <c r="L41" s="156" t="s">
        <v>90</v>
      </c>
    </row>
    <row r="42" spans="3:14" ht="21.75" thickTop="1"/>
    <row r="43" spans="3:14">
      <c r="C43" s="156"/>
      <c r="H43" s="173"/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8 พ.ค. 2557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00B050"/>
  </sheetPr>
  <dimension ref="A1:S43"/>
  <sheetViews>
    <sheetView topLeftCell="A19" zoomScaleSheetLayoutView="75" workbookViewId="0">
      <selection activeCell="J33" sqref="J33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bestFit="1" customWidth="1"/>
    <col min="20" max="16384" width="9.140625" style="146"/>
  </cols>
  <sheetData>
    <row r="1" spans="1:19" ht="26.25">
      <c r="A1" s="213" t="s">
        <v>88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9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9" ht="23.25">
      <c r="B3" s="149" t="s">
        <v>89</v>
      </c>
      <c r="C3" s="149"/>
      <c r="D3" s="149"/>
      <c r="E3" s="149"/>
      <c r="F3" s="149"/>
      <c r="G3" s="149"/>
      <c r="H3" s="149"/>
      <c r="J3" s="150">
        <f>SUM(J4:J7)</f>
        <v>2454.2599999999998</v>
      </c>
      <c r="K3" s="150"/>
      <c r="L3" s="149" t="s">
        <v>90</v>
      </c>
    </row>
    <row r="4" spans="1:19">
      <c r="C4" s="146" t="s">
        <v>91</v>
      </c>
      <c r="J4" s="151">
        <v>2.63</v>
      </c>
      <c r="K4" s="151"/>
      <c r="L4" s="146" t="s">
        <v>90</v>
      </c>
      <c r="N4" s="147">
        <f>15000+2549028</f>
        <v>2564028</v>
      </c>
    </row>
    <row r="5" spans="1:19">
      <c r="C5" s="146" t="s">
        <v>92</v>
      </c>
      <c r="J5" s="151">
        <v>2062.87</v>
      </c>
      <c r="K5" s="151"/>
      <c r="L5" s="146" t="s">
        <v>90</v>
      </c>
      <c r="N5" s="147">
        <f>1895283480.97+1767598.85+307808.09</f>
        <v>1897358887.9099998</v>
      </c>
      <c r="S5" s="147"/>
    </row>
    <row r="6" spans="1:19">
      <c r="C6" s="146" t="s">
        <v>93</v>
      </c>
      <c r="J6" s="151">
        <v>384.87</v>
      </c>
      <c r="K6" s="151"/>
      <c r="L6" s="146" t="s">
        <v>90</v>
      </c>
      <c r="N6" s="147">
        <f>159.68-1.53</f>
        <v>158.15</v>
      </c>
    </row>
    <row r="7" spans="1:19">
      <c r="C7" s="146" t="s">
        <v>94</v>
      </c>
      <c r="J7" s="151">
        <v>3.89</v>
      </c>
      <c r="K7" s="151"/>
      <c r="L7" s="146" t="s">
        <v>90</v>
      </c>
      <c r="N7" s="147" t="s">
        <v>95</v>
      </c>
      <c r="P7" s="152">
        <f>SUM(J6:J7)</f>
        <v>388.76</v>
      </c>
      <c r="Q7" s="153"/>
    </row>
    <row r="8" spans="1:19">
      <c r="F8" s="154"/>
      <c r="J8" s="151"/>
      <c r="K8" s="151"/>
    </row>
    <row r="9" spans="1:19" s="149" customFormat="1" ht="23.25">
      <c r="B9" s="149" t="s">
        <v>96</v>
      </c>
      <c r="J9" s="150">
        <f>+J10+J13</f>
        <v>2454.2599999999998</v>
      </c>
      <c r="K9" s="150"/>
      <c r="L9" s="149" t="s">
        <v>90</v>
      </c>
      <c r="N9" s="155"/>
    </row>
    <row r="10" spans="1:19">
      <c r="C10" s="156" t="s">
        <v>97</v>
      </c>
      <c r="D10" s="156"/>
      <c r="E10" s="156"/>
      <c r="F10" s="156"/>
      <c r="G10" s="156"/>
      <c r="H10" s="156"/>
      <c r="J10" s="157">
        <f>SUM(J11:J12)</f>
        <v>2945.6880000000001</v>
      </c>
      <c r="K10" s="157"/>
      <c r="L10" s="156" t="s">
        <v>90</v>
      </c>
    </row>
    <row r="11" spans="1:19">
      <c r="D11" s="146" t="s">
        <v>98</v>
      </c>
      <c r="J11" s="151">
        <f>+I29</f>
        <v>2556.38</v>
      </c>
      <c r="K11" s="151"/>
      <c r="L11" s="146" t="s">
        <v>90</v>
      </c>
    </row>
    <row r="12" spans="1:19">
      <c r="D12" s="146" t="s">
        <v>99</v>
      </c>
      <c r="J12" s="151">
        <f>+I40</f>
        <v>389.30800000000005</v>
      </c>
      <c r="K12" s="151"/>
      <c r="L12" s="146" t="s">
        <v>90</v>
      </c>
      <c r="N12" s="147">
        <f>79.47+71.91+5.93-2.01</f>
        <v>155.30000000000001</v>
      </c>
    </row>
    <row r="13" spans="1:19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-491.42800000000028</v>
      </c>
      <c r="K13" s="157"/>
      <c r="L13" s="156" t="s">
        <v>90</v>
      </c>
      <c r="N13" s="159">
        <f>+J14+J11</f>
        <v>2062.87</v>
      </c>
    </row>
    <row r="14" spans="1:19">
      <c r="D14" s="146" t="s">
        <v>98</v>
      </c>
      <c r="J14" s="151">
        <f>+J4+J5-2.63-I29</f>
        <v>-493.51000000000022</v>
      </c>
      <c r="K14" s="151"/>
      <c r="L14" s="146" t="s">
        <v>90</v>
      </c>
      <c r="N14" s="147">
        <f>+J15+J12</f>
        <v>391.39</v>
      </c>
    </row>
    <row r="15" spans="1:19">
      <c r="D15" s="146" t="s">
        <v>99</v>
      </c>
      <c r="J15" s="147">
        <f>+J6+J7+2.63-I40</f>
        <v>2.0819999999999368</v>
      </c>
      <c r="K15" s="151"/>
      <c r="L15" s="146" t="s">
        <v>90</v>
      </c>
    </row>
    <row r="16" spans="1:19">
      <c r="I16" s="151"/>
      <c r="S16" s="146">
        <f>0.42+0.13+1.78</f>
        <v>2.33</v>
      </c>
    </row>
    <row r="17" spans="2:12">
      <c r="B17" s="160" t="s">
        <v>49</v>
      </c>
      <c r="I17" s="151"/>
    </row>
    <row r="18" spans="2:12">
      <c r="C18" s="156" t="s">
        <v>101</v>
      </c>
      <c r="J18" s="157">
        <f>+J3</f>
        <v>2454.2599999999998</v>
      </c>
      <c r="L18" s="156" t="s">
        <v>90</v>
      </c>
    </row>
    <row r="19" spans="2:12">
      <c r="C19" s="161" t="s">
        <v>102</v>
      </c>
      <c r="D19" s="146" t="s">
        <v>103</v>
      </c>
      <c r="I19" s="157"/>
    </row>
    <row r="20" spans="2:12">
      <c r="D20" s="156" t="s">
        <v>104</v>
      </c>
      <c r="I20" s="157"/>
    </row>
    <row r="21" spans="2:12">
      <c r="D21" s="156" t="s">
        <v>105</v>
      </c>
      <c r="G21" s="151"/>
      <c r="H21" s="153"/>
      <c r="I21" s="157"/>
    </row>
    <row r="22" spans="2:12">
      <c r="D22" s="146" t="s">
        <v>106</v>
      </c>
      <c r="G22" s="147">
        <f>139.47-21.81-0.49</f>
        <v>117.17</v>
      </c>
      <c r="H22" s="153"/>
      <c r="I22" s="157"/>
    </row>
    <row r="23" spans="2:12">
      <c r="D23" s="146" t="s">
        <v>107</v>
      </c>
      <c r="G23" s="147">
        <v>2.5</v>
      </c>
      <c r="H23" s="153"/>
      <c r="I23" s="157"/>
    </row>
    <row r="24" spans="2:12">
      <c r="D24" s="146" t="s">
        <v>108</v>
      </c>
      <c r="G24" s="162">
        <v>2.33</v>
      </c>
      <c r="H24" s="151"/>
      <c r="I24" s="157"/>
    </row>
    <row r="25" spans="2:12">
      <c r="D25" s="146" t="s">
        <v>109</v>
      </c>
      <c r="G25" s="162">
        <v>0.2</v>
      </c>
      <c r="H25" s="151"/>
      <c r="I25" s="157"/>
    </row>
    <row r="26" spans="2:12">
      <c r="D26" s="146" t="s">
        <v>110</v>
      </c>
      <c r="G26" s="162">
        <v>0.16</v>
      </c>
      <c r="H26" s="151"/>
      <c r="I26" s="157"/>
    </row>
    <row r="27" spans="2:12">
      <c r="D27" s="146" t="s">
        <v>111</v>
      </c>
      <c r="G27" s="163">
        <v>0.31</v>
      </c>
      <c r="H27" s="147">
        <f>SUM(G22:G27)</f>
        <v>122.67</v>
      </c>
      <c r="I27" s="157"/>
    </row>
    <row r="28" spans="2:12">
      <c r="D28" s="156" t="s">
        <v>112</v>
      </c>
      <c r="G28" s="164">
        <f>2463.34-2.97-0.01-29.5</f>
        <v>2430.86</v>
      </c>
      <c r="H28" s="147"/>
      <c r="I28" s="157"/>
    </row>
    <row r="29" spans="2:12">
      <c r="D29" s="146" t="s">
        <v>113</v>
      </c>
      <c r="G29" s="163">
        <f>3.33-0.48</f>
        <v>2.85</v>
      </c>
      <c r="H29" s="165">
        <f>SUM(G28:G29)</f>
        <v>2433.71</v>
      </c>
      <c r="I29" s="157">
        <f>+H27+H29</f>
        <v>2556.38</v>
      </c>
    </row>
    <row r="30" spans="2:12" ht="21.75" customHeight="1">
      <c r="D30" s="156" t="s">
        <v>114</v>
      </c>
      <c r="G30" s="162"/>
      <c r="H30" s="166"/>
      <c r="I30" s="157"/>
    </row>
    <row r="31" spans="2:12" ht="21.75" customHeight="1">
      <c r="D31" s="156" t="s">
        <v>105</v>
      </c>
      <c r="G31" s="162"/>
      <c r="H31" s="166"/>
      <c r="I31" s="157"/>
    </row>
    <row r="32" spans="2:12">
      <c r="D32" s="146" t="s">
        <v>106</v>
      </c>
      <c r="G32" s="162">
        <f>15.04-14.35</f>
        <v>0.6899999999999995</v>
      </c>
      <c r="H32" s="147"/>
      <c r="I32" s="157"/>
    </row>
    <row r="33" spans="3:14">
      <c r="D33" s="146" t="s">
        <v>115</v>
      </c>
      <c r="G33" s="162">
        <v>0</v>
      </c>
      <c r="H33" s="147"/>
      <c r="I33" s="157"/>
    </row>
    <row r="34" spans="3:14">
      <c r="D34" s="146" t="s">
        <v>116</v>
      </c>
      <c r="G34" s="162">
        <f>1.49-0.01</f>
        <v>1.48</v>
      </c>
      <c r="H34" s="147"/>
      <c r="I34" s="157"/>
    </row>
    <row r="35" spans="3:14">
      <c r="D35" s="146" t="s">
        <v>110</v>
      </c>
      <c r="G35" s="163">
        <v>2.69</v>
      </c>
      <c r="H35" s="167">
        <f>SUM(G32:G35)</f>
        <v>4.8599999999999994</v>
      </c>
      <c r="I35" s="168"/>
      <c r="L35" s="156"/>
      <c r="N35" s="147">
        <f>1.36+0.11</f>
        <v>1.4700000000000002</v>
      </c>
    </row>
    <row r="36" spans="3:14">
      <c r="D36" s="156" t="s">
        <v>112</v>
      </c>
      <c r="G36" s="169"/>
      <c r="H36" s="167"/>
      <c r="I36" s="168"/>
      <c r="L36" s="156"/>
    </row>
    <row r="37" spans="3:14">
      <c r="D37" s="146" t="s">
        <v>106</v>
      </c>
      <c r="G37" s="164">
        <v>-1.9999999999997797E-3</v>
      </c>
      <c r="H37" s="167"/>
      <c r="I37" s="168"/>
      <c r="L37" s="156"/>
    </row>
    <row r="38" spans="3:14">
      <c r="D38" s="146" t="s">
        <v>115</v>
      </c>
      <c r="G38" s="164">
        <f>443.5+29.5-109.88</f>
        <v>363.12</v>
      </c>
      <c r="H38" s="167"/>
      <c r="I38" s="168"/>
      <c r="L38" s="156"/>
    </row>
    <row r="39" spans="3:14">
      <c r="D39" s="146" t="s">
        <v>116</v>
      </c>
      <c r="G39" s="164">
        <f>19.97+2.97+0.01-2.67-0.05</f>
        <v>20.23</v>
      </c>
      <c r="H39" s="167"/>
      <c r="I39" s="168"/>
      <c r="L39" s="156"/>
    </row>
    <row r="40" spans="3:14">
      <c r="D40" s="146" t="s">
        <v>110</v>
      </c>
      <c r="G40" s="163">
        <f>0.67+0.43</f>
        <v>1.1000000000000001</v>
      </c>
      <c r="H40" s="165">
        <f>SUM(G37:G40)</f>
        <v>384.44800000000004</v>
      </c>
      <c r="I40" s="168">
        <f>+H35+H40</f>
        <v>389.30800000000005</v>
      </c>
      <c r="J40" s="170">
        <f>+I29+I40</f>
        <v>2945.6880000000001</v>
      </c>
      <c r="L40" s="156"/>
    </row>
    <row r="41" spans="3:14" ht="21.75" thickBot="1">
      <c r="C41" s="156" t="s">
        <v>117</v>
      </c>
      <c r="I41" s="171"/>
      <c r="J41" s="172">
        <f>+J18-J40</f>
        <v>-491.42800000000034</v>
      </c>
      <c r="K41" s="168"/>
      <c r="L41" s="156" t="s">
        <v>90</v>
      </c>
    </row>
    <row r="42" spans="3:14" ht="21.75" thickTop="1"/>
    <row r="43" spans="3:14">
      <c r="C43" s="156"/>
      <c r="H43" s="173"/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&amp;Rกบท. สบท. 9 เม.ย. 2557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00B050"/>
  </sheetPr>
  <dimension ref="A1:R109"/>
  <sheetViews>
    <sheetView view="pageBreakPreview" zoomScale="90" zoomScaleNormal="90" zoomScaleSheetLayoutView="100" workbookViewId="0">
      <pane xSplit="1" ySplit="3" topLeftCell="B31" activePane="bottomRight" state="frozenSplit"/>
      <selection pane="topRight" activeCell="B1" sqref="B1"/>
      <selection pane="bottomLeft" activeCell="B4" sqref="B4"/>
      <selection pane="bottomRight" activeCell="E33" sqref="E33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9.28515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</cols>
  <sheetData>
    <row r="1" spans="1:15" ht="29.25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4</v>
      </c>
      <c r="J2" s="224"/>
      <c r="K2" s="224"/>
    </row>
    <row r="3" spans="1:15" ht="45" customHeight="1">
      <c r="A3" s="1" t="s">
        <v>5</v>
      </c>
      <c r="B3" s="2" t="s">
        <v>6</v>
      </c>
      <c r="C3" s="3" t="s">
        <v>7</v>
      </c>
      <c r="D3" s="4" t="s">
        <v>8</v>
      </c>
      <c r="E3" s="1" t="s">
        <v>5</v>
      </c>
      <c r="F3" s="2" t="s">
        <v>9</v>
      </c>
      <c r="G3" s="3" t="s">
        <v>7</v>
      </c>
      <c r="H3" s="5" t="s">
        <v>10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11066.62</v>
      </c>
      <c r="G4" s="15">
        <f>SUM(G5:G7)</f>
        <v>264.01</v>
      </c>
      <c r="H4" s="16">
        <f>SUM(H5:H8)</f>
        <v>11330.63</v>
      </c>
      <c r="I4" s="17">
        <f>SUM(I5:I8)</f>
        <v>2900</v>
      </c>
      <c r="J4" s="18">
        <f>SUM(J5:J8)</f>
        <v>582.29000000000008</v>
      </c>
      <c r="K4" s="19">
        <f>SUM(K5:K8)</f>
        <v>2317.71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7821.83</v>
      </c>
      <c r="G5" s="26">
        <f>110.4+109.88</f>
        <v>220.28</v>
      </c>
      <c r="H5" s="27">
        <f>+F5+G5</f>
        <v>8042.11</v>
      </c>
      <c r="I5" s="28">
        <v>650</v>
      </c>
      <c r="J5" s="29">
        <f>550.1+29.5</f>
        <v>579.6</v>
      </c>
      <c r="K5" s="30">
        <f>+I5-J5</f>
        <v>70.399999999999977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v>2960.19</v>
      </c>
      <c r="G6" s="32">
        <f>29.38+14.35</f>
        <v>43.73</v>
      </c>
      <c r="H6" s="27">
        <f>+F6+G6</f>
        <v>3003.92</v>
      </c>
      <c r="I6" s="33">
        <v>2000</v>
      </c>
      <c r="J6" s="34">
        <f>0.34+2.35</f>
        <v>2.69</v>
      </c>
      <c r="K6" s="35">
        <f>+I6-J6</f>
        <v>1997.31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>
        <v>0</v>
      </c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250</v>
      </c>
      <c r="J8" s="48"/>
      <c r="K8" s="35">
        <f>+I8-J8</f>
        <v>250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2744.58</v>
      </c>
      <c r="G9" s="15">
        <f>SUM(G10:G17)</f>
        <v>14.46</v>
      </c>
      <c r="H9" s="16">
        <f>SUM(H10:H18)</f>
        <v>2759.04</v>
      </c>
      <c r="I9" s="17">
        <f>SUM(I15:I16)</f>
        <v>150</v>
      </c>
      <c r="J9" s="50">
        <f>SUM(J15:J16)</f>
        <v>36.849999999999994</v>
      </c>
      <c r="K9" s="51">
        <f>SUM(K15:K16)</f>
        <v>113.15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9035.7899999999991</v>
      </c>
      <c r="C10" s="53">
        <f>SUM(C11:C17)</f>
        <v>434.90999999999997</v>
      </c>
      <c r="D10" s="24">
        <f>SUM(O11:O17)</f>
        <v>9470.6999999999989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676.56</v>
      </c>
      <c r="C11" s="32">
        <v>13.32</v>
      </c>
      <c r="D11" s="58">
        <f>+B11+C11</f>
        <v>689.88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689.88</v>
      </c>
    </row>
    <row r="12" spans="1:15" s="20" customFormat="1" ht="23.25">
      <c r="A12" s="21" t="s">
        <v>29</v>
      </c>
      <c r="B12" s="31">
        <v>679.13</v>
      </c>
      <c r="C12" s="32">
        <v>24.02</v>
      </c>
      <c r="D12" s="58">
        <f t="shared" ref="D12:D17" si="2">+B12+C12</f>
        <v>703.15</v>
      </c>
      <c r="E12" s="21" t="s">
        <v>30</v>
      </c>
      <c r="F12" s="31">
        <v>83.69</v>
      </c>
      <c r="G12" s="32">
        <v>0</v>
      </c>
      <c r="H12" s="27">
        <f t="shared" si="0"/>
        <v>83.69</v>
      </c>
      <c r="I12" s="33"/>
      <c r="J12" s="43">
        <v>0</v>
      </c>
      <c r="K12" s="44">
        <f>+I12-J12</f>
        <v>0</v>
      </c>
      <c r="L12" s="57"/>
      <c r="O12" s="59">
        <f t="shared" si="1"/>
        <v>703.15</v>
      </c>
    </row>
    <row r="13" spans="1:15" s="20" customFormat="1" ht="23.25">
      <c r="A13" s="21" t="s">
        <v>31</v>
      </c>
      <c r="B13" s="31">
        <v>256.90000000000003</v>
      </c>
      <c r="C13" s="32">
        <v>5.66</v>
      </c>
      <c r="D13" s="58">
        <f t="shared" si="2"/>
        <v>262.56000000000006</v>
      </c>
      <c r="E13" s="21" t="s">
        <v>32</v>
      </c>
      <c r="F13" s="31">
        <v>88.45</v>
      </c>
      <c r="G13" s="23"/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262.56000000000006</v>
      </c>
    </row>
    <row r="14" spans="1:15" s="20" customFormat="1" ht="23.25">
      <c r="A14" s="21" t="s">
        <v>33</v>
      </c>
      <c r="B14" s="31">
        <v>6054.08</v>
      </c>
      <c r="C14" s="32">
        <v>321.27999999999997</v>
      </c>
      <c r="D14" s="58">
        <f t="shared" si="2"/>
        <v>6375.36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6375.36</v>
      </c>
    </row>
    <row r="15" spans="1:15" s="20" customFormat="1" ht="23.25">
      <c r="A15" s="21" t="s">
        <v>35</v>
      </c>
      <c r="B15" s="60">
        <v>84.41</v>
      </c>
      <c r="C15" s="32">
        <v>1.6</v>
      </c>
      <c r="D15" s="58">
        <f t="shared" si="2"/>
        <v>86.009999999999991</v>
      </c>
      <c r="E15" s="21" t="s">
        <v>36</v>
      </c>
      <c r="F15" s="31">
        <v>1011.25</v>
      </c>
      <c r="G15" s="32">
        <f>11.25+3.21</f>
        <v>14.46</v>
      </c>
      <c r="H15" s="27">
        <f t="shared" si="0"/>
        <v>1025.71</v>
      </c>
      <c r="I15" s="33">
        <v>150</v>
      </c>
      <c r="J15" s="61">
        <f>33.87+2.97+0.01</f>
        <v>36.849999999999994</v>
      </c>
      <c r="K15" s="35">
        <f>+I15-J15-J16</f>
        <v>113.15</v>
      </c>
      <c r="L15" s="57"/>
      <c r="O15" s="59">
        <f t="shared" si="1"/>
        <v>86.009999999999991</v>
      </c>
    </row>
    <row r="16" spans="1:15" s="20" customFormat="1" ht="23.25">
      <c r="A16" s="21" t="s">
        <v>37</v>
      </c>
      <c r="B16" s="62">
        <v>440.08</v>
      </c>
      <c r="C16" s="32">
        <v>19.34</v>
      </c>
      <c r="D16" s="58">
        <f t="shared" si="2"/>
        <v>459.41999999999996</v>
      </c>
      <c r="E16" s="33" t="s">
        <v>38</v>
      </c>
      <c r="F16" s="31"/>
      <c r="G16" s="26"/>
      <c r="H16" s="27"/>
      <c r="I16" s="63"/>
      <c r="J16" s="64"/>
      <c r="K16" s="35"/>
      <c r="O16" s="59">
        <f t="shared" si="1"/>
        <v>459.41999999999996</v>
      </c>
    </row>
    <row r="17" spans="1:18" s="20" customFormat="1" ht="23.25">
      <c r="A17" s="21" t="s">
        <v>39</v>
      </c>
      <c r="B17" s="65">
        <v>844.63</v>
      </c>
      <c r="C17" s="32">
        <v>49.69</v>
      </c>
      <c r="D17" s="58">
        <f t="shared" si="2"/>
        <v>894.31999999999994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894.31999999999994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13811.2</v>
      </c>
      <c r="G19" s="82">
        <f>+G4+G9</f>
        <v>278.46999999999997</v>
      </c>
      <c r="H19" s="83">
        <f>+H4+H9</f>
        <v>14089.669999999998</v>
      </c>
      <c r="I19" s="19">
        <f>+I4+I9</f>
        <v>3050</v>
      </c>
      <c r="J19" s="84">
        <f>+J4+J9</f>
        <v>619.1400000000001</v>
      </c>
      <c r="K19" s="51">
        <f>+K4+K9</f>
        <v>2430.86</v>
      </c>
      <c r="M19" s="20">
        <f>F20+G20</f>
        <v>2454.2599999999998</v>
      </c>
      <c r="O19" s="85"/>
    </row>
    <row r="20" spans="1:18" s="20" customFormat="1" ht="23.25">
      <c r="A20" s="86"/>
      <c r="B20" s="74"/>
      <c r="C20" s="71"/>
      <c r="D20" s="80"/>
      <c r="E20" s="87" t="s">
        <v>118</v>
      </c>
      <c r="F20" s="88">
        <f>B22-F19</f>
        <v>2297.8199999999997</v>
      </c>
      <c r="G20" s="89">
        <f>C22-G19</f>
        <v>156.44</v>
      </c>
      <c r="H20" s="90">
        <f>D22-H19</f>
        <v>2454.260000000002</v>
      </c>
      <c r="I20" s="225" t="s">
        <v>42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43</v>
      </c>
      <c r="F21" s="95"/>
      <c r="G21" s="96"/>
      <c r="H21" s="97"/>
      <c r="I21" s="214" t="s">
        <v>44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-2454.260000000002</v>
      </c>
    </row>
    <row r="22" spans="1:18" s="20" customFormat="1" ht="23.25">
      <c r="A22" s="98" t="s">
        <v>45</v>
      </c>
      <c r="B22" s="99">
        <f>SUM(B4:B10)</f>
        <v>16109.02</v>
      </c>
      <c r="C22" s="100">
        <f>SUM(C4:C10)</f>
        <v>434.90999999999997</v>
      </c>
      <c r="D22" s="100">
        <f>SUM(D4:D10)</f>
        <v>16543.93</v>
      </c>
      <c r="E22" s="101" t="s">
        <v>46</v>
      </c>
      <c r="F22" s="102">
        <f>SUM(F19:F20)</f>
        <v>16109.02</v>
      </c>
      <c r="G22" s="103">
        <f>SUM(G19:G20)</f>
        <v>434.90999999999997</v>
      </c>
      <c r="H22" s="102">
        <f>+H19+H20</f>
        <v>16543.93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107"/>
      <c r="K25" s="107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2454.260000000002</v>
      </c>
      <c r="J26" s="111">
        <f>+F39</f>
        <v>392.83</v>
      </c>
      <c r="K26" s="112">
        <f>+I26-J26</f>
        <v>2061.4300000000021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+K66</f>
        <v>3.95</v>
      </c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+K46</f>
        <v>0.04</v>
      </c>
      <c r="H34" s="109"/>
      <c r="L34" s="105"/>
    </row>
    <row r="35" spans="1:16" ht="23.25">
      <c r="A35" s="119"/>
      <c r="C35" s="120"/>
      <c r="E35" s="121" t="s">
        <v>53</v>
      </c>
      <c r="F35" s="114">
        <f>+K51</f>
        <v>0.7</v>
      </c>
      <c r="G35" s="110"/>
      <c r="H35" s="122"/>
    </row>
    <row r="36" spans="1:16" ht="23.25">
      <c r="A36" s="119"/>
      <c r="C36" s="120"/>
      <c r="E36" s="121" t="s">
        <v>54</v>
      </c>
      <c r="F36" s="114">
        <f>+K56</f>
        <v>0.15</v>
      </c>
      <c r="G36" s="110"/>
      <c r="H36" s="122"/>
    </row>
    <row r="37" spans="1:16" ht="23.25">
      <c r="A37" s="119"/>
      <c r="C37" s="120"/>
      <c r="E37" s="121" t="s">
        <v>55</v>
      </c>
      <c r="F37" s="114">
        <f>+K61</f>
        <v>1.4800000000000098</v>
      </c>
      <c r="G37" s="110"/>
      <c r="H37" s="122"/>
    </row>
    <row r="38" spans="1:16" ht="23.25">
      <c r="A38" s="119"/>
      <c r="C38" s="120"/>
      <c r="E38" s="121" t="s">
        <v>56</v>
      </c>
      <c r="F38" s="114">
        <f>+K65</f>
        <v>386.2</v>
      </c>
      <c r="G38" s="110"/>
      <c r="H38" s="122"/>
    </row>
    <row r="39" spans="1:16" ht="21.75" customHeight="1" thickBot="1">
      <c r="A39" s="119"/>
      <c r="C39" s="120"/>
      <c r="E39" s="121" t="s">
        <v>57</v>
      </c>
      <c r="F39" s="123">
        <f>SUM(F32:F38)</f>
        <v>392.83</v>
      </c>
      <c r="G39" s="115"/>
      <c r="H39" s="109"/>
    </row>
    <row r="40" spans="1:16" ht="23.25">
      <c r="A40" s="119"/>
      <c r="C40" s="120"/>
      <c r="E40" s="113"/>
      <c r="G40" s="124" t="s">
        <v>58</v>
      </c>
      <c r="H40" s="125" t="s">
        <v>59</v>
      </c>
      <c r="I40" s="125" t="s">
        <v>60</v>
      </c>
      <c r="J40" s="125" t="s">
        <v>61</v>
      </c>
      <c r="K40" s="125" t="s">
        <v>62</v>
      </c>
    </row>
    <row r="41" spans="1:16" ht="17.25" hidden="1" customHeight="1">
      <c r="A41" s="126"/>
      <c r="C41" s="120"/>
      <c r="F41" t="s">
        <v>63</v>
      </c>
      <c r="G41" s="104">
        <v>1.47</v>
      </c>
      <c r="H41" s="114">
        <v>0</v>
      </c>
      <c r="I41" s="114">
        <v>0</v>
      </c>
      <c r="J41" s="114">
        <v>1.47</v>
      </c>
      <c r="K41" s="114">
        <f>+G41+H41-I41-J41</f>
        <v>0</v>
      </c>
    </row>
    <row r="42" spans="1:16" ht="21" hidden="1">
      <c r="A42" s="126"/>
      <c r="C42" s="120"/>
      <c r="E42" s="121"/>
      <c r="F42" t="s">
        <v>64</v>
      </c>
      <c r="G42" s="104">
        <f>71.52-0.01</f>
        <v>71.509999999999991</v>
      </c>
      <c r="H42" s="114">
        <v>0</v>
      </c>
      <c r="I42" s="114">
        <v>0</v>
      </c>
      <c r="J42" s="114">
        <f>71.52-0.01</f>
        <v>71.509999999999991</v>
      </c>
      <c r="K42" s="114">
        <f>+G42+H42-I42-J42</f>
        <v>0</v>
      </c>
      <c r="L42" t="s">
        <v>65</v>
      </c>
    </row>
    <row r="43" spans="1:16" ht="24" thickBot="1">
      <c r="A43" s="119"/>
      <c r="C43" s="120"/>
      <c r="E43" s="121" t="s">
        <v>52</v>
      </c>
      <c r="F43" t="s">
        <v>66</v>
      </c>
      <c r="G43" s="120">
        <v>0.04</v>
      </c>
      <c r="H43" s="114">
        <v>0</v>
      </c>
      <c r="I43" s="114">
        <v>0</v>
      </c>
      <c r="J43" s="114">
        <v>0</v>
      </c>
      <c r="K43" s="114">
        <f>+G43+H43-I43-J43</f>
        <v>0.04</v>
      </c>
      <c r="L43" s="127" t="s">
        <v>67</v>
      </c>
      <c r="P43" t="s">
        <v>68</v>
      </c>
    </row>
    <row r="44" spans="1:16" ht="21.75" hidden="1" thickBot="1">
      <c r="A44" s="126"/>
      <c r="E44" s="121"/>
      <c r="F44" s="128" t="s">
        <v>50</v>
      </c>
      <c r="G44" s="120"/>
      <c r="H44" s="114">
        <v>0</v>
      </c>
      <c r="I44" s="114">
        <v>0</v>
      </c>
      <c r="J44" s="114">
        <v>0</v>
      </c>
      <c r="K44" s="114">
        <f>+G44+H44-I44-J44</f>
        <v>0</v>
      </c>
      <c r="L44" s="114"/>
    </row>
    <row r="45" spans="1:16" ht="21.75" hidden="1" thickBot="1">
      <c r="A45" s="126"/>
      <c r="E45" s="121"/>
      <c r="F45" s="129" t="s">
        <v>51</v>
      </c>
      <c r="G45" s="120"/>
      <c r="H45" s="114"/>
      <c r="I45" s="114"/>
      <c r="J45" s="114"/>
      <c r="K45" s="114">
        <f>+G45+H45-I45-J45</f>
        <v>0</v>
      </c>
      <c r="L45" s="114"/>
    </row>
    <row r="46" spans="1:16" ht="21.75" thickBot="1">
      <c r="A46" s="126"/>
      <c r="C46" s="120"/>
      <c r="E46" s="121"/>
      <c r="G46" s="130"/>
      <c r="H46" s="114"/>
      <c r="I46" s="114"/>
      <c r="J46"/>
      <c r="K46" s="131">
        <f>SUM(K41:K45)</f>
        <v>0.04</v>
      </c>
    </row>
    <row r="47" spans="1:16" hidden="1">
      <c r="F47" t="s">
        <v>63</v>
      </c>
      <c r="G47" s="120">
        <f>17.91+0.08</f>
        <v>17.989999999999998</v>
      </c>
      <c r="H47" s="114">
        <v>8</v>
      </c>
      <c r="I47" s="114">
        <f>5+0.73</f>
        <v>5.73</v>
      </c>
      <c r="J47" s="114">
        <f>17.99+2.27</f>
        <v>20.259999999999998</v>
      </c>
      <c r="K47" s="114">
        <f>+G47+H47-I47-J47</f>
        <v>0</v>
      </c>
    </row>
    <row r="48" spans="1:16" ht="17.25" customHeight="1">
      <c r="E48" s="121" t="s">
        <v>53</v>
      </c>
      <c r="F48" t="s">
        <v>64</v>
      </c>
      <c r="G48" s="132">
        <v>0.69</v>
      </c>
      <c r="H48" s="114"/>
      <c r="I48" s="114"/>
      <c r="J48" s="114"/>
      <c r="K48" s="114">
        <f>+G48+H48-I48-J48</f>
        <v>0.69</v>
      </c>
    </row>
    <row r="49" spans="5:13" ht="17.25" customHeight="1" thickBot="1">
      <c r="E49" s="113"/>
      <c r="F49" t="s">
        <v>66</v>
      </c>
      <c r="G49" s="120">
        <v>0.01</v>
      </c>
      <c r="H49" s="114"/>
      <c r="I49" s="114">
        <v>0</v>
      </c>
      <c r="J49" s="114">
        <v>0</v>
      </c>
      <c r="K49" s="114">
        <f>+G49+H49-I49-J49</f>
        <v>0.01</v>
      </c>
    </row>
    <row r="50" spans="5:13" ht="18.75" hidden="1" customHeight="1" thickBot="1">
      <c r="E50" s="113"/>
      <c r="F50" s="128" t="s">
        <v>50</v>
      </c>
      <c r="G50" s="120"/>
      <c r="H50" s="114">
        <v>0</v>
      </c>
      <c r="I50" s="114">
        <v>0</v>
      </c>
      <c r="J50" s="114">
        <v>0</v>
      </c>
      <c r="K50" s="114">
        <f>+H50-I50-J50</f>
        <v>0</v>
      </c>
      <c r="L50" s="114">
        <f>SUM(K47:K50)</f>
        <v>0.7</v>
      </c>
    </row>
    <row r="51" spans="5:13" ht="18.75" customHeight="1" thickBot="1">
      <c r="E51" s="113"/>
      <c r="G51" s="120"/>
      <c r="H51" s="114"/>
      <c r="I51" s="114"/>
      <c r="J51"/>
      <c r="K51" s="131">
        <f>SUM(K47:K50)</f>
        <v>0.7</v>
      </c>
      <c r="M51" s="105">
        <f>+K47+K48+K49</f>
        <v>0.7</v>
      </c>
    </row>
    <row r="52" spans="5:13" ht="21">
      <c r="E52" s="121" t="s">
        <v>69</v>
      </c>
      <c r="F52" t="s">
        <v>63</v>
      </c>
      <c r="G52" s="120">
        <v>0</v>
      </c>
      <c r="H52" s="114"/>
      <c r="I52" s="114"/>
      <c r="J52" s="114">
        <v>0</v>
      </c>
      <c r="K52" s="114">
        <f>+G52+H52-I52-J52</f>
        <v>0</v>
      </c>
    </row>
    <row r="53" spans="5:13" ht="15.75" customHeight="1">
      <c r="E53" s="113"/>
      <c r="F53" t="s">
        <v>64</v>
      </c>
      <c r="G53" s="120">
        <v>0</v>
      </c>
      <c r="H53" s="114">
        <v>0</v>
      </c>
      <c r="I53" s="114">
        <v>0</v>
      </c>
      <c r="J53" s="114"/>
      <c r="K53" s="114">
        <f>+G53+H53-I53-J53</f>
        <v>0</v>
      </c>
    </row>
    <row r="54" spans="5:13" ht="15.75" customHeight="1" thickBot="1">
      <c r="E54" s="113"/>
      <c r="F54" t="s">
        <v>66</v>
      </c>
      <c r="G54" s="120">
        <v>0.15</v>
      </c>
      <c r="H54" s="114">
        <v>0</v>
      </c>
      <c r="I54" s="114">
        <v>0</v>
      </c>
      <c r="J54" s="114">
        <v>0</v>
      </c>
      <c r="K54" s="114">
        <f>+G54+H54-I54-J54</f>
        <v>0.15</v>
      </c>
    </row>
    <row r="55" spans="5:13" ht="15.75" hidden="1" customHeight="1" thickBot="1">
      <c r="E55" s="113"/>
      <c r="F55" s="128" t="s">
        <v>50</v>
      </c>
      <c r="G55" s="120"/>
      <c r="H55" s="114">
        <v>0</v>
      </c>
      <c r="I55" s="114">
        <v>0</v>
      </c>
      <c r="J55" s="114">
        <v>0</v>
      </c>
      <c r="K55" s="114">
        <f>+G55+H55-I55-J55</f>
        <v>0</v>
      </c>
      <c r="L55" s="114">
        <f>SUM(K52:K55)</f>
        <v>0.15</v>
      </c>
      <c r="M55" s="105">
        <f>SUM(K52:K55)</f>
        <v>0.15</v>
      </c>
    </row>
    <row r="56" spans="5:13" ht="18.75" customHeight="1" thickBot="1">
      <c r="E56" s="113"/>
      <c r="F56" s="128"/>
      <c r="G56" s="120"/>
      <c r="H56" s="114"/>
      <c r="I56" s="114"/>
      <c r="J56" s="114"/>
      <c r="K56" s="131">
        <f>SUM(K52:K55)</f>
        <v>0.15</v>
      </c>
      <c r="L56" s="114"/>
    </row>
    <row r="57" spans="5:13" ht="18.75" customHeight="1">
      <c r="E57" s="121" t="s">
        <v>70</v>
      </c>
      <c r="F57" t="s">
        <v>63</v>
      </c>
      <c r="G57" s="120">
        <v>0.3</v>
      </c>
      <c r="H57" s="114">
        <v>3.5</v>
      </c>
      <c r="I57" s="114">
        <f>0.3+3.5</f>
        <v>3.8</v>
      </c>
      <c r="J57" s="114">
        <v>0</v>
      </c>
      <c r="K57" s="114">
        <f>+G57+H57-I57-J57</f>
        <v>0</v>
      </c>
      <c r="L57" s="114"/>
    </row>
    <row r="58" spans="5:13" ht="18.75" customHeight="1">
      <c r="E58" s="113"/>
      <c r="F58" t="s">
        <v>64</v>
      </c>
      <c r="G58" s="120">
        <v>4.95</v>
      </c>
      <c r="H58" s="114">
        <f>15.38+3.37+21.81+0.49</f>
        <v>41.050000000000004</v>
      </c>
      <c r="I58" s="114">
        <f>26.7+14.35</f>
        <v>41.05</v>
      </c>
      <c r="J58" s="114">
        <v>4.95</v>
      </c>
      <c r="K58" s="114">
        <f>+G58+H58-I58-J58</f>
        <v>9.7699626167013776E-15</v>
      </c>
      <c r="L58" s="114"/>
    </row>
    <row r="59" spans="5:13" ht="18.75" customHeight="1">
      <c r="E59" s="113"/>
      <c r="F59" s="133" t="s">
        <v>71</v>
      </c>
      <c r="G59" s="120">
        <v>0.33</v>
      </c>
      <c r="H59" s="114">
        <v>0</v>
      </c>
      <c r="I59" s="114">
        <v>0.13</v>
      </c>
      <c r="J59" s="114">
        <v>0</v>
      </c>
      <c r="K59" s="114">
        <f>+G59+H59-I59-J59</f>
        <v>0.2</v>
      </c>
      <c r="L59" s="114"/>
    </row>
    <row r="60" spans="5:13" ht="18.75" customHeight="1" thickBot="1">
      <c r="E60" s="113"/>
      <c r="F60" t="s">
        <v>66</v>
      </c>
      <c r="G60" s="120">
        <f>1.9-0.08</f>
        <v>1.8199999999999998</v>
      </c>
      <c r="H60" s="114">
        <v>0</v>
      </c>
      <c r="I60" s="114">
        <f>0.37+0.01</f>
        <v>0.38</v>
      </c>
      <c r="J60" s="105">
        <f>0.15+0.01</f>
        <v>0.16</v>
      </c>
      <c r="K60" s="114">
        <f>+G60+H60-I60-J60</f>
        <v>1.28</v>
      </c>
      <c r="L60" s="114"/>
    </row>
    <row r="61" spans="5:13" ht="18.75" customHeight="1" thickBot="1">
      <c r="E61" s="113"/>
      <c r="G61" s="120"/>
      <c r="H61" s="114"/>
      <c r="I61" s="114"/>
      <c r="K61" s="134">
        <f>SUM(K57:K60)</f>
        <v>1.4800000000000098</v>
      </c>
      <c r="L61" s="114"/>
    </row>
    <row r="62" spans="5:13" ht="18.75" customHeight="1">
      <c r="E62" s="121" t="s">
        <v>72</v>
      </c>
      <c r="F62" t="s">
        <v>63</v>
      </c>
      <c r="G62" s="120">
        <v>0</v>
      </c>
      <c r="H62" s="114">
        <f>550.1+29.5</f>
        <v>579.6</v>
      </c>
      <c r="I62" s="114">
        <f>106.6+109.88</f>
        <v>216.48</v>
      </c>
      <c r="J62" s="114">
        <v>0</v>
      </c>
      <c r="K62" s="114">
        <f>+G62+H62-I62-J62</f>
        <v>363.12</v>
      </c>
      <c r="L62" s="114"/>
    </row>
    <row r="63" spans="5:13" ht="18.75" customHeight="1">
      <c r="E63" s="113"/>
      <c r="F63" t="s">
        <v>64</v>
      </c>
      <c r="G63" s="120">
        <v>0</v>
      </c>
      <c r="H63" s="114">
        <f>0.34+2.35</f>
        <v>2.69</v>
      </c>
      <c r="I63" s="114">
        <f>0.34+2.35</f>
        <v>2.69</v>
      </c>
      <c r="J63" s="114">
        <v>0</v>
      </c>
      <c r="K63" s="114">
        <f>+G63+H63-I63-J63</f>
        <v>0</v>
      </c>
      <c r="L63" s="114"/>
    </row>
    <row r="64" spans="5:13" ht="18.75" customHeight="1" thickBot="1">
      <c r="E64" s="113"/>
      <c r="F64" t="s">
        <v>66</v>
      </c>
      <c r="G64" s="120">
        <v>0</v>
      </c>
      <c r="H64" s="114">
        <f>33.87+2.97+0.01</f>
        <v>36.849999999999994</v>
      </c>
      <c r="I64" s="114">
        <f>10.57+2.67+0.48+0.05</f>
        <v>13.770000000000001</v>
      </c>
      <c r="J64" s="105">
        <v>0</v>
      </c>
      <c r="K64" s="114">
        <f>+G64+H64-I64-J64</f>
        <v>23.079999999999991</v>
      </c>
      <c r="L64" s="114"/>
    </row>
    <row r="65" spans="5:13" ht="18.75" customHeight="1" thickBot="1">
      <c r="E65" s="113"/>
      <c r="G65" s="120"/>
      <c r="H65" s="114"/>
      <c r="I65" s="114"/>
      <c r="J65" s="114"/>
      <c r="K65" s="134">
        <f>SUM(K62:K64)</f>
        <v>386.2</v>
      </c>
      <c r="L65" s="114"/>
    </row>
    <row r="66" spans="5:13" ht="18.75" customHeight="1">
      <c r="E66" s="113"/>
      <c r="F66" s="129" t="s">
        <v>50</v>
      </c>
      <c r="G66" s="120">
        <v>2.91</v>
      </c>
      <c r="H66" s="114">
        <f>0.77+0.43</f>
        <v>1.2</v>
      </c>
      <c r="I66" s="114">
        <f>0.06+0.1</f>
        <v>0.16</v>
      </c>
      <c r="J66"/>
      <c r="K66" s="114">
        <f>+G66+H66-I66</f>
        <v>3.95</v>
      </c>
    </row>
    <row r="67" spans="5:13" ht="18.75" customHeight="1" thickBot="1">
      <c r="E67" s="113"/>
      <c r="F67" s="129" t="s">
        <v>51</v>
      </c>
      <c r="G67" s="120">
        <v>0.31</v>
      </c>
      <c r="H67" s="114"/>
      <c r="I67" s="114"/>
      <c r="J67"/>
      <c r="K67" s="114">
        <f>+G67+H67-I67-J67</f>
        <v>0.31</v>
      </c>
    </row>
    <row r="68" spans="5:13" ht="18.75" customHeight="1" thickBot="1">
      <c r="E68" s="121" t="s">
        <v>73</v>
      </c>
      <c r="H68" s="114"/>
      <c r="I68" s="114"/>
      <c r="J68"/>
      <c r="K68" s="131">
        <f>+K46+K51+K56+K61+K65+K66+K67</f>
        <v>392.83</v>
      </c>
      <c r="M68" s="105">
        <f>+K51+K66+K67</f>
        <v>4.96</v>
      </c>
    </row>
    <row r="69" spans="5:13" ht="18.75" customHeight="1">
      <c r="E69" s="121" t="s">
        <v>74</v>
      </c>
      <c r="H69" s="114"/>
      <c r="I69" s="114"/>
      <c r="J69"/>
      <c r="K69" s="135"/>
      <c r="M69" s="105"/>
    </row>
    <row r="70" spans="5:13" ht="15.75" customHeight="1">
      <c r="E70" s="136" t="s">
        <v>75</v>
      </c>
      <c r="G70" s="120">
        <v>158.22</v>
      </c>
      <c r="H70" s="114">
        <f>15.38+3.37+21.81+0.49</f>
        <v>41.050000000000004</v>
      </c>
      <c r="J70" s="137"/>
      <c r="K70" s="114">
        <f>+G70-H70-I70-J70</f>
        <v>117.16999999999999</v>
      </c>
    </row>
    <row r="71" spans="5:13" ht="15.75" customHeight="1">
      <c r="E71" s="138" t="s">
        <v>63</v>
      </c>
      <c r="G71" s="120">
        <v>6</v>
      </c>
      <c r="H71" s="114">
        <v>3.5</v>
      </c>
      <c r="J71" s="137"/>
      <c r="K71" s="114">
        <f>+G71-H71-I71-J71</f>
        <v>2.5</v>
      </c>
    </row>
    <row r="72" spans="5:13" ht="15.75" customHeight="1" thickBot="1">
      <c r="E72" s="138" t="s">
        <v>76</v>
      </c>
      <c r="G72" s="120">
        <v>2.33</v>
      </c>
      <c r="H72" s="114">
        <v>0</v>
      </c>
      <c r="J72" s="137"/>
      <c r="K72" s="114">
        <f>+G72-H72-I72-J72</f>
        <v>2.33</v>
      </c>
    </row>
    <row r="73" spans="5:13" ht="18.75" customHeight="1" thickBot="1">
      <c r="E73" s="136"/>
      <c r="H73" s="114"/>
      <c r="I73" s="114"/>
      <c r="J73"/>
      <c r="K73" s="131">
        <f>SUM(K70:K72)</f>
        <v>121.99999999999999</v>
      </c>
      <c r="M73" s="105"/>
    </row>
    <row r="74" spans="5:13" ht="18.75" customHeight="1">
      <c r="E74" s="121" t="s">
        <v>77</v>
      </c>
    </row>
    <row r="75" spans="5:13" ht="15.75" customHeight="1">
      <c r="E75" s="136" t="s">
        <v>63</v>
      </c>
      <c r="J75" s="137">
        <v>0</v>
      </c>
      <c r="K75" s="114">
        <f>+K5-J75</f>
        <v>70.399999999999977</v>
      </c>
    </row>
    <row r="76" spans="5:13" ht="18" customHeight="1">
      <c r="E76" s="136" t="s">
        <v>75</v>
      </c>
      <c r="J76" s="105">
        <v>0</v>
      </c>
      <c r="K76" s="114">
        <f>+K6</f>
        <v>1997.31</v>
      </c>
    </row>
    <row r="77" spans="5:13" ht="15.75" customHeight="1">
      <c r="E77" s="136" t="s">
        <v>66</v>
      </c>
      <c r="J77" s="137">
        <v>0</v>
      </c>
      <c r="K77" s="114">
        <f>+K8-J77</f>
        <v>250</v>
      </c>
    </row>
    <row r="78" spans="5:13" ht="15.75" customHeight="1" thickBot="1">
      <c r="E78" s="136" t="s">
        <v>78</v>
      </c>
      <c r="J78" s="137">
        <v>0</v>
      </c>
      <c r="K78" s="114">
        <f>+K15-J78</f>
        <v>113.15</v>
      </c>
    </row>
    <row r="79" spans="5:13" ht="18.75" customHeight="1" thickBot="1">
      <c r="E79" s="121" t="s">
        <v>79</v>
      </c>
      <c r="J79" s="139">
        <f>SUM(J75:J78)</f>
        <v>0</v>
      </c>
      <c r="K79" s="140">
        <f>SUM(K75:K78)</f>
        <v>2430.86</v>
      </c>
    </row>
    <row r="80" spans="5:13" ht="23.25" customHeight="1" thickBot="1">
      <c r="E80" s="121" t="s">
        <v>80</v>
      </c>
      <c r="K80" s="141">
        <f>+K68+K73+K79</f>
        <v>2945.69</v>
      </c>
    </row>
    <row r="81" spans="5:11" ht="18.75" customHeight="1" thickBot="1">
      <c r="E81" s="138" t="s">
        <v>81</v>
      </c>
      <c r="K81" s="142">
        <f>+H20</f>
        <v>2454.260000000002</v>
      </c>
    </row>
    <row r="82" spans="5:11" ht="23.25" customHeight="1" thickBot="1">
      <c r="E82" s="121" t="s">
        <v>82</v>
      </c>
      <c r="K82" s="143">
        <f>+K81-K80</f>
        <v>-491.42999999999802</v>
      </c>
    </row>
    <row r="83" spans="5:11" ht="6.75" customHeight="1"/>
    <row r="84" spans="5:11" hidden="1"/>
    <row r="85" spans="5:11" hidden="1"/>
    <row r="86" spans="5:11" hidden="1"/>
    <row r="87" spans="5:11" hidden="1"/>
    <row r="88" spans="5:11" hidden="1"/>
    <row r="89" spans="5:11" ht="29.25" hidden="1">
      <c r="E89" s="109" t="s">
        <v>83</v>
      </c>
      <c r="G89" s="110">
        <f>649.23+6.61</f>
        <v>655.84</v>
      </c>
      <c r="H89" s="109">
        <f>10866.54-10208.33</f>
        <v>658.21000000000095</v>
      </c>
      <c r="I89" s="106">
        <v>1796.26</v>
      </c>
      <c r="J89" s="111">
        <f>+F96</f>
        <v>84.19</v>
      </c>
      <c r="K89" s="112">
        <f>+I89-J89</f>
        <v>1712.07</v>
      </c>
    </row>
    <row r="90" spans="5:11" hidden="1">
      <c r="H90" s="114"/>
    </row>
    <row r="91" spans="5:11" ht="21" hidden="1">
      <c r="E91" s="121" t="s">
        <v>84</v>
      </c>
      <c r="F91" s="118">
        <f>7.39-2-0.1-0.5-2.94-0.94</f>
        <v>0.91000000000000014</v>
      </c>
      <c r="G91" s="115"/>
      <c r="K91" s="114"/>
    </row>
    <row r="92" spans="5:11" ht="21" hidden="1">
      <c r="E92" s="121" t="s">
        <v>84</v>
      </c>
      <c r="F92" s="144">
        <f>-0.1-0.03-0.35-0.43</f>
        <v>-0.90999999999999992</v>
      </c>
      <c r="G92" s="115" t="s">
        <v>61</v>
      </c>
      <c r="K92" s="114"/>
    </row>
    <row r="93" spans="5:11" ht="21" hidden="1">
      <c r="E93" s="117" t="s">
        <v>50</v>
      </c>
      <c r="F93" s="118">
        <v>0.66</v>
      </c>
    </row>
    <row r="94" spans="5:11" ht="21" hidden="1">
      <c r="E94" s="117" t="s">
        <v>51</v>
      </c>
      <c r="F94" s="118">
        <v>0.31</v>
      </c>
      <c r="H94" s="109"/>
    </row>
    <row r="95" spans="5:11" ht="21" hidden="1">
      <c r="E95" s="121" t="s">
        <v>52</v>
      </c>
      <c r="F95" s="114">
        <f>190.07+11.66+0.01-3.08-0.04-25.64-3.26-2.85+64.94+0.86-2.19-15.72-3.83-16.38-0.35-0.29-89.5-29.27+3.12+3.88+0.02+1.06</f>
        <v>83.22</v>
      </c>
      <c r="G95" s="110"/>
      <c r="H95" s="122"/>
    </row>
    <row r="96" spans="5:11" hidden="1">
      <c r="E96" s="113"/>
      <c r="F96" s="145">
        <f>SUM(F91:F95)</f>
        <v>84.19</v>
      </c>
      <c r="G96" s="115"/>
      <c r="H96" s="109"/>
    </row>
    <row r="97" spans="5:11" hidden="1">
      <c r="E97" s="113"/>
      <c r="G97" s="124" t="s">
        <v>85</v>
      </c>
      <c r="H97" s="125" t="s">
        <v>60</v>
      </c>
      <c r="I97" s="125" t="s">
        <v>61</v>
      </c>
      <c r="J97" s="125" t="s">
        <v>62</v>
      </c>
    </row>
    <row r="98" spans="5:11" ht="21" hidden="1">
      <c r="E98" s="121" t="s">
        <v>52</v>
      </c>
      <c r="F98" t="s">
        <v>63</v>
      </c>
      <c r="G98" s="120">
        <f>410.71+316.98+108.36+17.17</f>
        <v>853.22</v>
      </c>
      <c r="H98" s="114">
        <v>790.87</v>
      </c>
      <c r="I98">
        <f>3.19+14.05+19.83+3.08+16.38</f>
        <v>56.53</v>
      </c>
      <c r="J98" s="114">
        <f>+G98-H98-I98</f>
        <v>5.8200000000000216</v>
      </c>
    </row>
    <row r="99" spans="5:11" ht="21" hidden="1">
      <c r="E99" s="121"/>
      <c r="F99" t="s">
        <v>64</v>
      </c>
      <c r="G99" s="120">
        <f>0.9+44.05+21.2+27.17+11.66+64.94</f>
        <v>169.92</v>
      </c>
      <c r="H99" s="127">
        <f>67.88-2.94+29.27+3.83</f>
        <v>98.039999999999992</v>
      </c>
      <c r="I99">
        <v>0.35</v>
      </c>
      <c r="J99" s="114">
        <f>+G99-H99-I99</f>
        <v>71.53</v>
      </c>
    </row>
    <row r="100" spans="5:11" ht="21" hidden="1">
      <c r="E100" s="121"/>
      <c r="F100" t="s">
        <v>66</v>
      </c>
      <c r="G100" s="120">
        <f>24.35+0.37+0.13+0.01+0.02+3.12</f>
        <v>28.000000000000004</v>
      </c>
      <c r="H100" s="114">
        <f>24.62-2.01+0.25</f>
        <v>22.86</v>
      </c>
      <c r="I100">
        <f>0.04+0.29</f>
        <v>0.32999999999999996</v>
      </c>
      <c r="J100" s="114">
        <f>+G100-H100-I100</f>
        <v>4.8100000000000041</v>
      </c>
    </row>
    <row r="101" spans="5:11" ht="21" hidden="1">
      <c r="E101" s="121"/>
      <c r="F101" t="s">
        <v>86</v>
      </c>
      <c r="G101" s="120"/>
      <c r="H101" s="114"/>
      <c r="J101" s="114">
        <v>1.06</v>
      </c>
    </row>
    <row r="102" spans="5:11" ht="21.75" hidden="1" thickBot="1">
      <c r="E102" s="121"/>
      <c r="G102" s="120"/>
      <c r="H102" s="114"/>
      <c r="J102" s="131">
        <f>SUM(J98:J101)</f>
        <v>83.220000000000027</v>
      </c>
    </row>
    <row r="103" spans="5:11" ht="21" hidden="1">
      <c r="E103" s="121" t="s">
        <v>84</v>
      </c>
      <c r="F103" t="s">
        <v>63</v>
      </c>
      <c r="G103" s="120">
        <v>2</v>
      </c>
      <c r="H103" s="114">
        <v>2</v>
      </c>
      <c r="J103" s="114">
        <f>+G103-H103-I103</f>
        <v>0</v>
      </c>
    </row>
    <row r="104" spans="5:11" hidden="1">
      <c r="E104" s="113"/>
      <c r="F104" t="s">
        <v>64</v>
      </c>
      <c r="G104" s="120">
        <v>7.11</v>
      </c>
      <c r="H104" s="127">
        <v>6.76</v>
      </c>
      <c r="I104" s="114">
        <v>0.35</v>
      </c>
      <c r="J104" s="114">
        <f>+G104-H104-I104</f>
        <v>5.5511151231257827E-16</v>
      </c>
    </row>
    <row r="105" spans="5:11" hidden="1">
      <c r="E105" s="113"/>
      <c r="F105" t="s">
        <v>66</v>
      </c>
      <c r="G105" s="120">
        <f>2.67-0.1</f>
        <v>2.57</v>
      </c>
      <c r="H105" s="114">
        <f>0.33+0.19+0.05+0.5+0.94</f>
        <v>2.0099999999999998</v>
      </c>
      <c r="I105" s="114">
        <f>0.13+0.43</f>
        <v>0.56000000000000005</v>
      </c>
      <c r="J105" s="114">
        <f>+G105-H105-I105</f>
        <v>0</v>
      </c>
    </row>
    <row r="106" spans="5:11" ht="13.5" hidden="1" thickBot="1">
      <c r="E106" s="113"/>
      <c r="G106" s="120"/>
      <c r="H106" s="114"/>
      <c r="J106" s="131">
        <f>SUM(J103:J105)</f>
        <v>5.5511151231257827E-16</v>
      </c>
      <c r="K106" s="114"/>
    </row>
    <row r="107" spans="5:11" ht="18" hidden="1">
      <c r="E107" s="113"/>
      <c r="F107" s="129" t="s">
        <v>50</v>
      </c>
      <c r="G107" s="120"/>
      <c r="H107" s="114"/>
      <c r="J107" s="114">
        <v>0.66</v>
      </c>
      <c r="K107" s="114"/>
    </row>
    <row r="108" spans="5:11" ht="18" hidden="1">
      <c r="E108" s="113"/>
      <c r="F108" s="129" t="s">
        <v>51</v>
      </c>
      <c r="G108" s="120"/>
      <c r="H108" s="114"/>
      <c r="J108" s="114">
        <v>0.31</v>
      </c>
      <c r="K108" s="114"/>
    </row>
    <row r="109" spans="5:11" ht="21.75" hidden="1" thickBot="1">
      <c r="E109" s="121" t="s">
        <v>87</v>
      </c>
      <c r="G109" s="120"/>
      <c r="H109" s="114"/>
      <c r="J109" s="140">
        <f>+J102+J106+J107+J108</f>
        <v>84.190000000000026</v>
      </c>
      <c r="K109" s="114">
        <f>+F96-J109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เม.ย. 2557</oddFooter>
  </headerFooter>
  <rowBreaks count="3" manualBreakCount="3">
    <brk id="26" max="16383" man="1"/>
    <brk id="68" max="10" man="1"/>
    <brk id="83" max="16383" man="1"/>
  </rowBreaks>
  <colBreaks count="1" manualBreakCount="1">
    <brk id="1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U46"/>
  <sheetViews>
    <sheetView zoomScaleSheetLayoutView="75" workbookViewId="0">
      <selection activeCell="J6" sqref="J6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343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344</v>
      </c>
      <c r="C3" s="149"/>
      <c r="D3" s="149"/>
      <c r="E3" s="149"/>
      <c r="F3" s="149"/>
      <c r="G3" s="149"/>
      <c r="H3" s="149"/>
      <c r="J3" s="150">
        <f>SUM(J4:J7)</f>
        <v>2661.53</v>
      </c>
      <c r="K3" s="150"/>
      <c r="L3" s="149" t="s">
        <v>90</v>
      </c>
    </row>
    <row r="4" spans="1:21">
      <c r="C4" s="146" t="s">
        <v>91</v>
      </c>
      <c r="J4" s="151">
        <v>0.08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2584.16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2584.2399999999998</v>
      </c>
    </row>
    <row r="6" spans="1:21">
      <c r="C6" s="146" t="s">
        <v>93</v>
      </c>
      <c r="J6" s="151">
        <v>71.760000000000005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5.53</v>
      </c>
      <c r="K7" s="151"/>
      <c r="L7" s="146" t="s">
        <v>90</v>
      </c>
      <c r="N7" s="147" t="s">
        <v>95</v>
      </c>
      <c r="P7" s="152">
        <f>SUM(J6:J7)</f>
        <v>77.290000000000006</v>
      </c>
      <c r="Q7" s="153"/>
      <c r="S7" s="173">
        <f>+J4+J6+J7</f>
        <v>77.37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2661.53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2588.02</v>
      </c>
      <c r="K10" s="157"/>
      <c r="L10" s="156" t="s">
        <v>90</v>
      </c>
      <c r="T10" s="153">
        <f>+J11-T5</f>
        <v>-73.579999999999927</v>
      </c>
    </row>
    <row r="11" spans="1:21">
      <c r="D11" s="146" t="s">
        <v>98</v>
      </c>
      <c r="J11" s="151">
        <f>+I29</f>
        <v>2510.66</v>
      </c>
      <c r="K11" s="151"/>
      <c r="L11" s="146" t="s">
        <v>90</v>
      </c>
    </row>
    <row r="12" spans="1:21">
      <c r="D12" s="146" t="s">
        <v>99</v>
      </c>
      <c r="J12" s="151">
        <f>+I40</f>
        <v>77.36</v>
      </c>
      <c r="K12" s="151"/>
      <c r="L12" s="146" t="s">
        <v>90</v>
      </c>
      <c r="N12" s="147">
        <f>79.47+71.91+5.93-2.01</f>
        <v>155.30000000000001</v>
      </c>
      <c r="S12" s="173">
        <f>+J12+J15</f>
        <v>77.37</v>
      </c>
      <c r="T12" s="153">
        <f>+J6+J7</f>
        <v>77.290000000000006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73.510000000000005</v>
      </c>
      <c r="K13" s="157"/>
      <c r="L13" s="156" t="s">
        <v>90</v>
      </c>
      <c r="N13" s="159">
        <f>+J14+J11</f>
        <v>2584.16</v>
      </c>
    </row>
    <row r="14" spans="1:21">
      <c r="D14" s="146" t="s">
        <v>98</v>
      </c>
      <c r="J14" s="151">
        <f>+J5-I29</f>
        <v>73.5</v>
      </c>
      <c r="K14" s="151"/>
      <c r="L14" s="146" t="s">
        <v>90</v>
      </c>
      <c r="N14" s="147">
        <f>+J15+J12</f>
        <v>77.37</v>
      </c>
    </row>
    <row r="15" spans="1:21">
      <c r="D15" s="146" t="s">
        <v>99</v>
      </c>
      <c r="J15" s="211">
        <f>+J4+J6+J7-J12</f>
        <v>1.0000000000005116E-2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345</v>
      </c>
      <c r="J18" s="157">
        <f>+J3</f>
        <v>2661.53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112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12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0.18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12.49</v>
      </c>
      <c r="I26" s="157"/>
    </row>
    <row r="27" spans="2:21">
      <c r="D27" s="156" t="s">
        <v>211</v>
      </c>
      <c r="G27" s="164">
        <f>2591.2-5.66-94.24-0.07</f>
        <v>2491.23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7.39-0.45</f>
        <v>6.9399999999999995</v>
      </c>
      <c r="H29" s="165">
        <f>SUM(G27:G29)</f>
        <v>2498.17</v>
      </c>
      <c r="I29" s="157">
        <f>+H26+H29</f>
        <v>2510.66</v>
      </c>
      <c r="U29" s="152">
        <f>+G29-9.09</f>
        <v>-2.1500000000000004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112</v>
      </c>
      <c r="G31" s="162"/>
      <c r="H31" s="166"/>
      <c r="I31" s="157"/>
    </row>
    <row r="32" spans="2:21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v>2.1</v>
      </c>
      <c r="H34" s="147"/>
      <c r="I34" s="157"/>
    </row>
    <row r="35" spans="3:14">
      <c r="D35" s="146" t="s">
        <v>110</v>
      </c>
      <c r="G35" s="163">
        <f>3.75-0.31</f>
        <v>3.44</v>
      </c>
      <c r="H35" s="167">
        <f>SUM(G32:G35)</f>
        <v>5.54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14.21+94.24-52.71-1.39</f>
        <v>54.349999999999987</v>
      </c>
      <c r="H37" s="167"/>
      <c r="I37" s="168"/>
      <c r="L37" s="156"/>
    </row>
    <row r="38" spans="3:14">
      <c r="D38" s="146" t="s">
        <v>115</v>
      </c>
      <c r="G38" s="164">
        <f>59.56+5.66-46.96-3.5</f>
        <v>14.759999999999998</v>
      </c>
      <c r="H38" s="167"/>
      <c r="I38" s="168"/>
      <c r="L38" s="156"/>
    </row>
    <row r="39" spans="3:14">
      <c r="D39" s="146" t="s">
        <v>116</v>
      </c>
      <c r="G39" s="164">
        <f>3.92+0.07-3.31+0.45+0.31-0.81-0.01</f>
        <v>0.61999999999999966</v>
      </c>
      <c r="H39" s="167"/>
      <c r="I39" s="168"/>
      <c r="L39" s="156"/>
    </row>
    <row r="40" spans="3:14">
      <c r="D40" s="146" t="s">
        <v>110</v>
      </c>
      <c r="G40" s="163">
        <f>1.76+0.33</f>
        <v>2.09</v>
      </c>
      <c r="H40" s="165">
        <f>SUM(G37:G40)</f>
        <v>71.819999999999993</v>
      </c>
      <c r="I40" s="168">
        <f>SUM(H32:H40)</f>
        <v>77.36</v>
      </c>
      <c r="J40" s="170">
        <f>+I29+I40</f>
        <v>2588.02</v>
      </c>
      <c r="L40" s="156"/>
    </row>
    <row r="41" spans="3:14" ht="21.75" thickBot="1">
      <c r="C41" s="156" t="s">
        <v>346</v>
      </c>
      <c r="I41" s="171"/>
      <c r="J41" s="172">
        <f>+J18-J40</f>
        <v>73.510000000000218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5.5299999999999994</v>
      </c>
    </row>
    <row r="46" spans="3:14" hidden="1">
      <c r="G46" s="152">
        <f>+J7-G45</f>
        <v>0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9 ต.ค. 2558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X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B83" sqref="B83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339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340</v>
      </c>
      <c r="E3" s="1" t="s">
        <v>5</v>
      </c>
      <c r="F3" s="2" t="s">
        <v>201</v>
      </c>
      <c r="G3" s="3" t="s">
        <v>198</v>
      </c>
      <c r="H3" s="5" t="s">
        <v>341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681.37</v>
      </c>
      <c r="H4" s="16">
        <f>SUM(H5:H8)</f>
        <v>12573.02</v>
      </c>
      <c r="I4" s="17">
        <f>SUM(I5:I8)</f>
        <v>3140</v>
      </c>
      <c r="J4" s="18">
        <f>SUM(J5:J8)</f>
        <v>764.52</v>
      </c>
      <c r="K4" s="19">
        <f>SUM(K5:K8)</f>
        <v>2375.48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583.78</v>
      </c>
      <c r="H5" s="27">
        <f>+F5+G5</f>
        <v>9028.68</v>
      </c>
      <c r="I5" s="28">
        <v>640</v>
      </c>
      <c r="J5" s="29">
        <f>593.85+5+1+9.97+3.76+5.66</f>
        <v>619.24</v>
      </c>
      <c r="K5" s="30">
        <f>+I5-J5</f>
        <v>20.759999999999991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97.59</v>
      </c>
      <c r="H6" s="27">
        <f>+F6+G6</f>
        <v>3259.7400000000002</v>
      </c>
      <c r="I6" s="33">
        <v>1950</v>
      </c>
      <c r="J6" s="34">
        <f>3.21+4.36+9.78+5.9+6.03+21.76+94.24</f>
        <v>145.28</v>
      </c>
      <c r="K6" s="35">
        <f>+I6-J6</f>
        <v>1804.72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36.69</v>
      </c>
      <c r="H9" s="16">
        <f>SUM(H10:H18)</f>
        <v>2815.46</v>
      </c>
      <c r="I9" s="17">
        <f>SUM(I15:I16)</f>
        <v>160</v>
      </c>
      <c r="J9" s="50">
        <f>SUM(J15:J16)</f>
        <v>44.25</v>
      </c>
      <c r="K9" s="51">
        <f>SUM(K15:K16)</f>
        <v>115.75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953.58</v>
      </c>
      <c r="D10" s="24">
        <f>SUM(O11:O17)</f>
        <v>10976.779999999999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26.56</v>
      </c>
      <c r="D11" s="58">
        <f>+B11+C11</f>
        <v>731.86999999999989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731.86999999999989</v>
      </c>
    </row>
    <row r="12" spans="1:15" s="20" customFormat="1" ht="23.25">
      <c r="A12" s="21" t="s">
        <v>29</v>
      </c>
      <c r="B12" s="31">
        <v>730.91</v>
      </c>
      <c r="C12" s="32">
        <v>46.13</v>
      </c>
      <c r="D12" s="58">
        <f t="shared" ref="D12:D17" si="2">+B12+C12</f>
        <v>777.04</v>
      </c>
      <c r="E12" s="21" t="s">
        <v>30</v>
      </c>
      <c r="F12" s="31">
        <v>86.44</v>
      </c>
      <c r="G12" s="32">
        <v>2.79</v>
      </c>
      <c r="H12" s="27">
        <f t="shared" si="0"/>
        <v>89.23</v>
      </c>
      <c r="I12" s="33"/>
      <c r="J12" s="43">
        <v>0</v>
      </c>
      <c r="K12" s="44">
        <f>+I12-J12</f>
        <v>0</v>
      </c>
      <c r="L12" s="57"/>
      <c r="O12" s="59">
        <f t="shared" si="1"/>
        <v>777.04</v>
      </c>
    </row>
    <row r="13" spans="1:15" s="20" customFormat="1" ht="23.25">
      <c r="A13" s="21" t="s">
        <v>31</v>
      </c>
      <c r="B13" s="31">
        <v>269.3</v>
      </c>
      <c r="C13" s="32">
        <v>11.13</v>
      </c>
      <c r="D13" s="58">
        <f t="shared" si="2"/>
        <v>280.43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280.43</v>
      </c>
    </row>
    <row r="14" spans="1:15" s="20" customFormat="1" ht="23.25">
      <c r="A14" s="21" t="s">
        <v>33</v>
      </c>
      <c r="B14" s="31">
        <v>6798</v>
      </c>
      <c r="C14" s="32">
        <v>703.71</v>
      </c>
      <c r="D14" s="58">
        <f t="shared" si="2"/>
        <v>7501.71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7501.71</v>
      </c>
    </row>
    <row r="15" spans="1:15" s="20" customFormat="1" ht="23.25">
      <c r="A15" s="21" t="s">
        <v>35</v>
      </c>
      <c r="B15" s="60">
        <v>87.09</v>
      </c>
      <c r="C15" s="32">
        <v>2.77</v>
      </c>
      <c r="D15" s="58">
        <f t="shared" si="2"/>
        <v>89.86</v>
      </c>
      <c r="E15" s="21" t="s">
        <v>36</v>
      </c>
      <c r="F15" s="31">
        <f>1042.74-0.05</f>
        <v>1042.69</v>
      </c>
      <c r="G15" s="32">
        <v>33.9</v>
      </c>
      <c r="H15" s="27">
        <f t="shared" si="0"/>
        <v>1076.5900000000001</v>
      </c>
      <c r="I15" s="33">
        <v>160</v>
      </c>
      <c r="J15" s="61">
        <f>36.42+6.97+0.31+2.03+0.01+0.03-1.84+0.25+0.07</f>
        <v>44.25</v>
      </c>
      <c r="K15" s="35">
        <f>+I15-J15-J16</f>
        <v>115.75</v>
      </c>
      <c r="L15" s="57"/>
      <c r="O15" s="59">
        <f t="shared" si="1"/>
        <v>89.86</v>
      </c>
    </row>
    <row r="16" spans="1:15" s="20" customFormat="1" ht="23.25">
      <c r="A16" s="21" t="s">
        <v>37</v>
      </c>
      <c r="B16" s="62">
        <v>490.18</v>
      </c>
      <c r="C16" s="32">
        <v>49.45</v>
      </c>
      <c r="D16" s="58">
        <f t="shared" si="2"/>
        <v>539.63</v>
      </c>
      <c r="E16" s="33"/>
      <c r="F16" s="31"/>
      <c r="G16" s="26"/>
      <c r="H16" s="27"/>
      <c r="I16" s="63"/>
      <c r="J16" s="64"/>
      <c r="K16" s="35"/>
      <c r="O16" s="59">
        <f t="shared" si="1"/>
        <v>539.63</v>
      </c>
    </row>
    <row r="17" spans="1:18" s="20" customFormat="1" ht="23.25">
      <c r="A17" s="21" t="s">
        <v>39</v>
      </c>
      <c r="B17" s="65">
        <v>942.41</v>
      </c>
      <c r="C17" s="32">
        <v>113.83</v>
      </c>
      <c r="D17" s="58">
        <f t="shared" si="2"/>
        <v>1056.24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1056.24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718.06</v>
      </c>
      <c r="H19" s="83">
        <f>+H4+H9</f>
        <v>15388.48</v>
      </c>
      <c r="I19" s="19">
        <f>+I4+I9</f>
        <v>3300</v>
      </c>
      <c r="J19" s="84">
        <f>+J4+J9</f>
        <v>808.77</v>
      </c>
      <c r="K19" s="51">
        <f>+K4+K9</f>
        <v>2491.23</v>
      </c>
      <c r="M19" s="20">
        <f>F20+G20</f>
        <v>2661.53</v>
      </c>
      <c r="O19" s="85"/>
    </row>
    <row r="20" spans="1:18" s="20" customFormat="1" ht="23.25">
      <c r="A20" s="86"/>
      <c r="B20" s="74"/>
      <c r="C20" s="71"/>
      <c r="D20" s="80"/>
      <c r="E20" s="87" t="s">
        <v>347</v>
      </c>
      <c r="F20" s="88">
        <f>B22-F19</f>
        <v>2426.0100000000002</v>
      </c>
      <c r="G20" s="89">
        <f>C22-G19</f>
        <v>235.5200000000001</v>
      </c>
      <c r="H20" s="90">
        <f>+D22-H19</f>
        <v>2661.5299999999988</v>
      </c>
      <c r="I20" s="225" t="s">
        <v>349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348</v>
      </c>
      <c r="F21" s="95"/>
      <c r="G21" s="96"/>
      <c r="H21" s="97"/>
      <c r="I21" s="214" t="s">
        <v>350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-2661.5299999999988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953.58</v>
      </c>
      <c r="D22" s="100">
        <f>SUM(D4:D10)</f>
        <v>18050.009999999998</v>
      </c>
      <c r="E22" s="101" t="s">
        <v>46</v>
      </c>
      <c r="F22" s="102">
        <f>SUM(F19:F20)</f>
        <v>17096.43</v>
      </c>
      <c r="G22" s="103">
        <f>SUM(G19:G20)</f>
        <v>953.58</v>
      </c>
      <c r="H22" s="102">
        <f>+H19+H20</f>
        <v>18050.009999999998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8"/>
      <c r="K25" s="208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2661.5299999999988</v>
      </c>
      <c r="J26" s="111">
        <f>+F40</f>
        <v>84.789999999999907</v>
      </c>
      <c r="K26" s="112">
        <f>+I26-J26</f>
        <v>2576.7399999999989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5.71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1.7799999999999998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76.659999999999911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84.789999999999907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/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/>
      <c r="R63" s="105"/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/>
      <c r="R64" s="105"/>
    </row>
    <row r="65" spans="5:24" ht="18.75" customHeight="1" thickBot="1">
      <c r="E65" s="113"/>
      <c r="F65" t="s">
        <v>66</v>
      </c>
      <c r="G65" s="120">
        <f>4+0.01</f>
        <v>4.01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1.7799999999999998</v>
      </c>
      <c r="L65" s="114"/>
      <c r="R65" s="105"/>
      <c r="S65" s="105"/>
    </row>
    <row r="66" spans="5:24" ht="18.75" customHeight="1" thickBot="1">
      <c r="E66" s="113"/>
      <c r="G66" s="120"/>
      <c r="H66" s="114"/>
      <c r="I66" s="114"/>
      <c r="J66" s="114"/>
      <c r="K66" s="134">
        <f>SUM(K63:K65)</f>
        <v>1.7799999999999998</v>
      </c>
      <c r="L66" s="114"/>
    </row>
    <row r="67" spans="5:24" ht="18.75" customHeight="1">
      <c r="E67" s="121" t="s">
        <v>204</v>
      </c>
      <c r="F67" t="s">
        <v>63</v>
      </c>
      <c r="G67" s="120">
        <v>0</v>
      </c>
      <c r="H67" s="114">
        <f>609.82+3.76+5.66</f>
        <v>619.24</v>
      </c>
      <c r="I67" s="114">
        <f>455.11+80.71-0.01+46.96</f>
        <v>582.7700000000001</v>
      </c>
      <c r="J67" s="114">
        <f>7.89+10.31+3.5</f>
        <v>21.7</v>
      </c>
      <c r="K67" s="114">
        <f>+G67+H67-I67-J67</f>
        <v>14.769999999999914</v>
      </c>
      <c r="L67" s="114"/>
      <c r="Q67" s="205">
        <f>+H67+H68+H69</f>
        <v>808.77</v>
      </c>
      <c r="R67" s="105">
        <f>+I63+I67</f>
        <v>583.7700000000001</v>
      </c>
    </row>
    <row r="68" spans="5:24" ht="18.75" customHeight="1">
      <c r="E68" s="113"/>
      <c r="F68" t="s">
        <v>64</v>
      </c>
      <c r="G68" s="120">
        <v>0</v>
      </c>
      <c r="H68" s="114">
        <f>3.21+4.36+9.78+5.9+6.03+21.76+94.24</f>
        <v>145.28</v>
      </c>
      <c r="I68" s="114">
        <f>29.71+7.12+52.71</f>
        <v>89.539999999999992</v>
      </c>
      <c r="J68" s="114">
        <v>1.39</v>
      </c>
      <c r="K68" s="114">
        <f t="shared" ref="K68" si="6">+G68+H68-I68-J68</f>
        <v>54.350000000000009</v>
      </c>
      <c r="L68" s="114"/>
      <c r="Q68" s="125"/>
      <c r="R68" s="105">
        <f>+I59+I64+I68</f>
        <v>97.58</v>
      </c>
    </row>
    <row r="69" spans="5:24" ht="18.75" customHeight="1" thickBot="1">
      <c r="E69" s="113"/>
      <c r="F69" t="s">
        <v>66</v>
      </c>
      <c r="G69" s="120">
        <v>0</v>
      </c>
      <c r="H69" s="114">
        <f>44.18+0.07</f>
        <v>44.25</v>
      </c>
      <c r="I69" s="114">
        <f>30.11+2.7-0.04+3.31-0.31+0.01</f>
        <v>35.78</v>
      </c>
      <c r="J69" s="105">
        <f>0.04+0.08+0.81</f>
        <v>0.93</v>
      </c>
      <c r="K69" s="114">
        <f>+G69+H69-I69-J69</f>
        <v>7.5399999999999991</v>
      </c>
      <c r="L69" s="114"/>
      <c r="R69" s="105">
        <f>+I65+I69+I71</f>
        <v>36.71</v>
      </c>
      <c r="S69" s="105"/>
    </row>
    <row r="70" spans="5:24" ht="18.75" customHeight="1" thickBot="1">
      <c r="E70" s="113"/>
      <c r="G70" s="120"/>
      <c r="H70" s="114"/>
      <c r="I70" s="114"/>
      <c r="J70" s="114"/>
      <c r="K70" s="134">
        <f>SUM(K67:K69)</f>
        <v>76.659999999999911</v>
      </c>
      <c r="L70" s="114"/>
      <c r="R70" s="105">
        <f>SUM(R67:R69)</f>
        <v>718.06000000000017</v>
      </c>
      <c r="T70" s="105">
        <f>+J44+J60+J61+J63+J65+J67+J69</f>
        <v>24.689999999999998</v>
      </c>
    </row>
    <row r="71" spans="5:24" ht="18.75" customHeight="1">
      <c r="E71" s="113"/>
      <c r="F71" s="129" t="s">
        <v>50</v>
      </c>
      <c r="G71" s="120">
        <f>4.05+0.01</f>
        <v>4.0599999999999996</v>
      </c>
      <c r="H71" s="209">
        <f>1.71+0.05+0.34</f>
        <v>2.1</v>
      </c>
      <c r="I71" s="114">
        <f>0.07+0.01+0.02+0.04+0.31</f>
        <v>0.45</v>
      </c>
      <c r="J71"/>
      <c r="K71" s="114">
        <f>+G71+H71-I71</f>
        <v>5.71</v>
      </c>
      <c r="R71" s="105"/>
    </row>
    <row r="72" spans="5:24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/>
      <c r="V72" s="105">
        <f>+H67+H68+H69</f>
        <v>808.77</v>
      </c>
      <c r="W72" s="105">
        <f>SUM(I59:I71)</f>
        <v>718.06000000000006</v>
      </c>
      <c r="X72" s="105">
        <f>+J44+J60+J61+J63+J65+J67+J69</f>
        <v>24.689999999999998</v>
      </c>
    </row>
    <row r="73" spans="5:24" ht="18.75" customHeight="1" thickBot="1">
      <c r="E73" s="121" t="s">
        <v>73</v>
      </c>
      <c r="H73" s="114"/>
      <c r="I73" s="114"/>
      <c r="J73"/>
      <c r="K73" s="131">
        <f>+K47+K52+K57+K62+K70+K71+K72+K66</f>
        <v>84.789999999999907</v>
      </c>
      <c r="M73" s="105">
        <f>+K52+K71+K72</f>
        <v>6.02</v>
      </c>
      <c r="R73" s="105"/>
    </row>
    <row r="74" spans="5:24" ht="18.75" customHeight="1">
      <c r="E74" s="121" t="s">
        <v>205</v>
      </c>
      <c r="H74" s="114"/>
      <c r="I74" s="114"/>
      <c r="J74"/>
      <c r="K74" s="135"/>
      <c r="M74" s="105"/>
      <c r="R74" s="105"/>
    </row>
    <row r="75" spans="5:24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/>
    </row>
    <row r="76" spans="5:24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/>
    </row>
    <row r="77" spans="5:24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24" ht="18.75" customHeight="1">
      <c r="E78" s="121" t="s">
        <v>206</v>
      </c>
      <c r="R78" s="105"/>
    </row>
    <row r="79" spans="5:24" ht="15.75" customHeight="1">
      <c r="E79" s="136" t="s">
        <v>63</v>
      </c>
      <c r="J79" s="137">
        <v>0</v>
      </c>
      <c r="K79" s="114">
        <f>+K5-J79</f>
        <v>20.759999999999991</v>
      </c>
    </row>
    <row r="80" spans="5:24" ht="18" customHeight="1">
      <c r="E80" s="136" t="s">
        <v>75</v>
      </c>
      <c r="J80" s="105">
        <v>0</v>
      </c>
      <c r="K80" s="114">
        <f>+K6</f>
        <v>1804.72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115.75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2491.23</v>
      </c>
    </row>
    <row r="84" spans="5:11" ht="23.25" customHeight="1" thickBot="1">
      <c r="E84" s="121" t="s">
        <v>80</v>
      </c>
      <c r="K84" s="141">
        <f>+K73+K77+K83</f>
        <v>2588.02</v>
      </c>
    </row>
    <row r="85" spans="5:11" ht="18.75" customHeight="1" thickBot="1">
      <c r="E85" s="198" t="s">
        <v>342</v>
      </c>
      <c r="K85" s="142">
        <f>+H20</f>
        <v>2661.5299999999988</v>
      </c>
    </row>
    <row r="86" spans="5:11" ht="23.25" customHeight="1" thickBot="1">
      <c r="E86" s="121" t="s">
        <v>82</v>
      </c>
      <c r="K86" s="143">
        <f>+K85-K84</f>
        <v>73.509999999998854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9 ต.ค.2558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U46"/>
  <sheetViews>
    <sheetView topLeftCell="A20" zoomScaleSheetLayoutView="75" workbookViewId="0">
      <selection activeCell="J15" sqref="J15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331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332</v>
      </c>
      <c r="C3" s="149"/>
      <c r="D3" s="149"/>
      <c r="E3" s="149"/>
      <c r="F3" s="149"/>
      <c r="G3" s="149"/>
      <c r="H3" s="149"/>
      <c r="J3" s="150">
        <f>SUM(J4:J7)</f>
        <v>2719.0540000000005</v>
      </c>
      <c r="K3" s="150"/>
      <c r="L3" s="149" t="s">
        <v>90</v>
      </c>
    </row>
    <row r="4" spans="1:21">
      <c r="C4" s="146" t="s">
        <v>91</v>
      </c>
      <c r="J4" s="151">
        <v>2.23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2633.03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2635.26</v>
      </c>
    </row>
    <row r="6" spans="1:21">
      <c r="C6" s="146" t="s">
        <v>93</v>
      </c>
      <c r="J6" s="151">
        <v>78.28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5.5140000000000002</v>
      </c>
      <c r="K7" s="151"/>
      <c r="L7" s="146" t="s">
        <v>90</v>
      </c>
      <c r="N7" s="147" t="s">
        <v>95</v>
      </c>
      <c r="P7" s="152">
        <f>SUM(J6:J7)</f>
        <v>83.793999999999997</v>
      </c>
      <c r="Q7" s="153"/>
      <c r="S7" s="173">
        <f>+J4+J6+J7</f>
        <v>86.024000000000001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2719.0540000000005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2696.3599999999992</v>
      </c>
      <c r="K10" s="157"/>
      <c r="L10" s="156" t="s">
        <v>90</v>
      </c>
      <c r="T10" s="153">
        <f>+J11-T5</f>
        <v>-24.200000000001182</v>
      </c>
    </row>
    <row r="11" spans="1:21">
      <c r="D11" s="146" t="s">
        <v>98</v>
      </c>
      <c r="J11" s="151">
        <f>+I29</f>
        <v>2611.059999999999</v>
      </c>
      <c r="K11" s="151"/>
      <c r="L11" s="146" t="s">
        <v>90</v>
      </c>
    </row>
    <row r="12" spans="1:21">
      <c r="D12" s="146" t="s">
        <v>99</v>
      </c>
      <c r="J12" s="151">
        <f>+I40</f>
        <v>85.3</v>
      </c>
      <c r="K12" s="151"/>
      <c r="L12" s="146" t="s">
        <v>90</v>
      </c>
      <c r="N12" s="147">
        <f>79.47+71.91+5.93-2.01</f>
        <v>155.30000000000001</v>
      </c>
      <c r="S12" s="173">
        <f>+J12+J15</f>
        <v>85.983999999999995</v>
      </c>
      <c r="T12" s="153">
        <f>+J6+J7</f>
        <v>83.793999999999997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22.694000000001168</v>
      </c>
      <c r="K13" s="157"/>
      <c r="L13" s="156" t="s">
        <v>90</v>
      </c>
      <c r="N13" s="159">
        <f>+J14+J11</f>
        <v>2633.07</v>
      </c>
    </row>
    <row r="14" spans="1:21">
      <c r="D14" s="146" t="s">
        <v>98</v>
      </c>
      <c r="J14" s="151">
        <f>+J5-I29+0.04</f>
        <v>22.010000000001163</v>
      </c>
      <c r="K14" s="151"/>
      <c r="L14" s="146" t="s">
        <v>90</v>
      </c>
      <c r="N14" s="147">
        <f>+J15+J12</f>
        <v>85.983999999999995</v>
      </c>
    </row>
    <row r="15" spans="1:21">
      <c r="D15" s="146" t="s">
        <v>99</v>
      </c>
      <c r="J15" s="204">
        <f>+J4+J6+J7-J12-0.04</f>
        <v>0.68400000000000372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333</v>
      </c>
      <c r="J18" s="157">
        <f>+J3</f>
        <v>2719.0540000000005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112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12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0.16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12.47</v>
      </c>
      <c r="I26" s="157"/>
    </row>
    <row r="27" spans="2:21">
      <c r="D27" s="156" t="s">
        <v>211</v>
      </c>
      <c r="G27" s="164">
        <f>2627.97-1.03-9.97-21.76-0.25-3.76</f>
        <v>2591.1999999999994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7.9-0.44-0.07</f>
        <v>7.39</v>
      </c>
      <c r="H29" s="165">
        <f>SUM(G27:G29)</f>
        <v>2598.5899999999992</v>
      </c>
      <c r="I29" s="157">
        <f>+H26+H29</f>
        <v>2611.059999999999</v>
      </c>
      <c r="U29" s="152">
        <f>+G29-9.09</f>
        <v>-1.7000000000000002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112</v>
      </c>
      <c r="G31" s="162"/>
      <c r="H31" s="166"/>
      <c r="I31" s="157"/>
    </row>
    <row r="32" spans="2:21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v>2.1</v>
      </c>
      <c r="H34" s="147"/>
      <c r="I34" s="157"/>
    </row>
    <row r="35" spans="3:14">
      <c r="D35" s="146" t="s">
        <v>110</v>
      </c>
      <c r="G35" s="163">
        <f>3.79-0.04</f>
        <v>3.75</v>
      </c>
      <c r="H35" s="167">
        <f>SUM(G32:G35)</f>
        <v>5.85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21.33-7.13+0.01</f>
        <v>14.209999999999999</v>
      </c>
      <c r="H37" s="167"/>
      <c r="I37" s="168"/>
      <c r="L37" s="156"/>
    </row>
    <row r="38" spans="3:14">
      <c r="D38" s="146" t="s">
        <v>115</v>
      </c>
      <c r="G38" s="164">
        <f>146.81+3.76-80.71-10.31+0.01</f>
        <v>59.559999999999995</v>
      </c>
      <c r="H38" s="167"/>
      <c r="I38" s="168"/>
      <c r="L38" s="156"/>
    </row>
    <row r="39" spans="3:14">
      <c r="D39" s="146" t="s">
        <v>116</v>
      </c>
      <c r="G39" s="164">
        <f>6.15+0.07-2.71+0.01+0.44-0.08+0.04</f>
        <v>3.9200000000000004</v>
      </c>
      <c r="H39" s="167"/>
      <c r="I39" s="168"/>
      <c r="L39" s="156"/>
    </row>
    <row r="40" spans="3:14">
      <c r="D40" s="146" t="s">
        <v>110</v>
      </c>
      <c r="G40" s="163">
        <f>1.71+0.05</f>
        <v>1.76</v>
      </c>
      <c r="H40" s="165">
        <f>SUM(G37:G40)</f>
        <v>79.45</v>
      </c>
      <c r="I40" s="168">
        <f>SUM(H32:H40)</f>
        <v>85.3</v>
      </c>
      <c r="J40" s="170">
        <f>+I29+I40</f>
        <v>2696.3599999999992</v>
      </c>
      <c r="L40" s="156"/>
    </row>
    <row r="41" spans="3:14" ht="21.75" thickBot="1">
      <c r="C41" s="156" t="s">
        <v>334</v>
      </c>
      <c r="I41" s="171"/>
      <c r="J41" s="172">
        <f>+J18-J40</f>
        <v>22.694000000001324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5.51</v>
      </c>
    </row>
    <row r="46" spans="3:14" hidden="1">
      <c r="G46" s="152">
        <f>+J7-G45</f>
        <v>4.0000000000004476E-3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10 ก.ย. 2558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X113"/>
  <sheetViews>
    <sheetView view="pageBreakPreview" zoomScale="90" zoomScaleNormal="90" zoomScaleSheetLayoutView="100" workbookViewId="0">
      <pane xSplit="1" ySplit="3" topLeftCell="B4" activePane="bottomRight" state="frozenSplit"/>
      <selection pane="topRight" activeCell="B1" sqref="B1"/>
      <selection pane="bottomLeft" activeCell="B4" sqref="B4"/>
      <selection pane="bottomRight" activeCell="E21" sqref="E21"/>
    </sheetView>
  </sheetViews>
  <sheetFormatPr defaultRowHeight="12.75"/>
  <cols>
    <col min="1" max="1" width="32.42578125" customWidth="1"/>
    <col min="3" max="3" width="9.42578125" style="104" customWidth="1"/>
    <col min="4" max="4" width="11" customWidth="1"/>
    <col min="5" max="5" width="41" customWidth="1"/>
    <col min="6" max="6" width="9.5703125" customWidth="1"/>
    <col min="7" max="7" width="11.140625" style="104" bestFit="1" customWidth="1"/>
    <col min="8" max="8" width="10.5703125" customWidth="1"/>
    <col min="9" max="9" width="8.7109375" customWidth="1"/>
    <col min="10" max="10" width="16.5703125" style="105" customWidth="1"/>
    <col min="11" max="11" width="14" customWidth="1"/>
    <col min="12" max="13" width="9.28515625" hidden="1" customWidth="1"/>
    <col min="14" max="14" width="10.42578125" hidden="1" customWidth="1"/>
    <col min="15" max="15" width="9.140625" hidden="1" customWidth="1"/>
    <col min="16" max="20" width="0" hidden="1" customWidth="1"/>
  </cols>
  <sheetData>
    <row r="1" spans="1:15" ht="29.25">
      <c r="A1" s="220" t="s">
        <v>327</v>
      </c>
      <c r="B1" s="220"/>
      <c r="C1" s="220"/>
      <c r="D1" s="220"/>
      <c r="E1" s="220"/>
      <c r="F1" s="220"/>
      <c r="G1" s="220"/>
      <c r="H1" s="220"/>
      <c r="I1" s="220"/>
      <c r="J1" s="221" t="s">
        <v>1</v>
      </c>
      <c r="K1" s="221"/>
    </row>
    <row r="2" spans="1:15" ht="23.25">
      <c r="A2" s="222" t="s">
        <v>2</v>
      </c>
      <c r="B2" s="222"/>
      <c r="C2" s="222"/>
      <c r="D2" s="222"/>
      <c r="E2" s="223" t="s">
        <v>3</v>
      </c>
      <c r="F2" s="223"/>
      <c r="G2" s="223"/>
      <c r="H2" s="223"/>
      <c r="I2" s="224" t="s">
        <v>203</v>
      </c>
      <c r="J2" s="224"/>
      <c r="K2" s="224"/>
    </row>
    <row r="3" spans="1:15" ht="45" customHeight="1">
      <c r="A3" s="1" t="s">
        <v>5</v>
      </c>
      <c r="B3" s="2" t="s">
        <v>199</v>
      </c>
      <c r="C3" s="3" t="s">
        <v>198</v>
      </c>
      <c r="D3" s="4" t="s">
        <v>328</v>
      </c>
      <c r="E3" s="1" t="s">
        <v>5</v>
      </c>
      <c r="F3" s="2" t="s">
        <v>201</v>
      </c>
      <c r="G3" s="3" t="s">
        <v>198</v>
      </c>
      <c r="H3" s="5" t="s">
        <v>329</v>
      </c>
      <c r="I3" s="6" t="s">
        <v>11</v>
      </c>
      <c r="J3" s="7" t="s">
        <v>12</v>
      </c>
      <c r="K3" s="8" t="s">
        <v>13</v>
      </c>
    </row>
    <row r="4" spans="1:15" s="20" customFormat="1" ht="23.25">
      <c r="A4" s="9" t="s">
        <v>14</v>
      </c>
      <c r="B4" s="10">
        <v>5534.67</v>
      </c>
      <c r="C4" s="11">
        <v>0</v>
      </c>
      <c r="D4" s="12">
        <f>+B4+C4</f>
        <v>5534.67</v>
      </c>
      <c r="E4" s="13" t="s">
        <v>15</v>
      </c>
      <c r="F4" s="14">
        <f>SUM(F5:F8)</f>
        <v>11891.65</v>
      </c>
      <c r="G4" s="15">
        <f>SUM(G5:G7)</f>
        <v>581.70000000000005</v>
      </c>
      <c r="H4" s="16">
        <f>SUM(H5:H8)</f>
        <v>12473.35</v>
      </c>
      <c r="I4" s="17">
        <f>SUM(I5:I8)</f>
        <v>3140</v>
      </c>
      <c r="J4" s="18">
        <f>SUM(J5:J8)</f>
        <v>664.62</v>
      </c>
      <c r="K4" s="19">
        <f>SUM(K5:K8)</f>
        <v>2475.38</v>
      </c>
    </row>
    <row r="5" spans="1:15" s="20" customFormat="1" ht="23.25">
      <c r="A5" s="21" t="s">
        <v>16</v>
      </c>
      <c r="B5" s="22">
        <v>129.75</v>
      </c>
      <c r="C5" s="23">
        <v>0</v>
      </c>
      <c r="D5" s="24">
        <f>+B5</f>
        <v>129.75</v>
      </c>
      <c r="E5" s="21" t="s">
        <v>17</v>
      </c>
      <c r="F5" s="25">
        <v>8444.9</v>
      </c>
      <c r="G5" s="26">
        <v>536.82000000000005</v>
      </c>
      <c r="H5" s="27">
        <f>+F5+G5</f>
        <v>8981.7199999999993</v>
      </c>
      <c r="I5" s="28">
        <v>640</v>
      </c>
      <c r="J5" s="29">
        <f>593.85+5+1+9.97+3.76</f>
        <v>613.58000000000004</v>
      </c>
      <c r="K5" s="30">
        <f>+I5-J5</f>
        <v>26.419999999999959</v>
      </c>
    </row>
    <row r="6" spans="1:15" s="20" customFormat="1" ht="23.25">
      <c r="A6" s="21" t="s">
        <v>18</v>
      </c>
      <c r="B6" s="22">
        <v>100</v>
      </c>
      <c r="C6" s="23">
        <v>0</v>
      </c>
      <c r="D6" s="24">
        <f>+B6</f>
        <v>100</v>
      </c>
      <c r="E6" s="21" t="s">
        <v>19</v>
      </c>
      <c r="F6" s="31">
        <f>3162.1+0.05</f>
        <v>3162.15</v>
      </c>
      <c r="G6" s="32">
        <v>44.88</v>
      </c>
      <c r="H6" s="27">
        <f>+F6+G6</f>
        <v>3207.03</v>
      </c>
      <c r="I6" s="33">
        <v>1950</v>
      </c>
      <c r="J6" s="34">
        <f>3.21+4.36+9.78+5.9+6.03+21.76</f>
        <v>51.040000000000006</v>
      </c>
      <c r="K6" s="35">
        <f>+I6-J6</f>
        <v>1898.96</v>
      </c>
      <c r="M6" s="20">
        <f>600.05+9.85-26.7</f>
        <v>583.19999999999993</v>
      </c>
    </row>
    <row r="7" spans="1:15" s="20" customFormat="1" ht="23.25">
      <c r="A7" s="36" t="s">
        <v>20</v>
      </c>
      <c r="B7" s="37">
        <v>1118.68</v>
      </c>
      <c r="C7" s="38">
        <v>0</v>
      </c>
      <c r="D7" s="39">
        <f>+B7+C7</f>
        <v>1118.68</v>
      </c>
      <c r="E7" s="21" t="s">
        <v>21</v>
      </c>
      <c r="F7" s="40">
        <v>277.60000000000002</v>
      </c>
      <c r="G7" s="41"/>
      <c r="H7" s="27">
        <f>+F7+G7</f>
        <v>277.60000000000002</v>
      </c>
      <c r="I7" s="42">
        <v>0</v>
      </c>
      <c r="J7" s="43">
        <v>0</v>
      </c>
      <c r="K7" s="44">
        <f>+I7-J7</f>
        <v>0</v>
      </c>
    </row>
    <row r="8" spans="1:15" s="20" customFormat="1" ht="23.25">
      <c r="A8" s="33"/>
      <c r="B8" s="22"/>
      <c r="C8" s="23"/>
      <c r="D8" s="24"/>
      <c r="E8" s="21" t="s">
        <v>22</v>
      </c>
      <c r="F8" s="45">
        <v>7</v>
      </c>
      <c r="G8" s="46"/>
      <c r="H8" s="27">
        <f>+F8+G8</f>
        <v>7</v>
      </c>
      <c r="I8" s="47">
        <v>550</v>
      </c>
      <c r="J8" s="48"/>
      <c r="K8" s="35">
        <f>+I8-J8</f>
        <v>550</v>
      </c>
    </row>
    <row r="9" spans="1:15" s="20" customFormat="1" ht="23.25">
      <c r="A9" s="21" t="s">
        <v>23</v>
      </c>
      <c r="B9" s="22">
        <v>190.13</v>
      </c>
      <c r="C9" s="23">
        <f>+D9-B9</f>
        <v>0</v>
      </c>
      <c r="D9" s="24">
        <f>+B9</f>
        <v>190.13</v>
      </c>
      <c r="E9" s="49" t="s">
        <v>24</v>
      </c>
      <c r="F9" s="14">
        <f>SUM(F10:F17)</f>
        <v>2778.7700000000004</v>
      </c>
      <c r="G9" s="15">
        <f>SUM(G10:G17)</f>
        <v>33.369999999999997</v>
      </c>
      <c r="H9" s="16">
        <f>SUM(H10:H18)</f>
        <v>2812.1400000000003</v>
      </c>
      <c r="I9" s="17">
        <f>SUM(I15:I16)</f>
        <v>160</v>
      </c>
      <c r="J9" s="50">
        <f>SUM(J15:J16)</f>
        <v>44.18</v>
      </c>
      <c r="K9" s="51">
        <f>SUM(K15:K16)</f>
        <v>115.82</v>
      </c>
      <c r="L9" s="52"/>
      <c r="M9" s="20">
        <f>790.19-810</f>
        <v>-19.809999999999945</v>
      </c>
    </row>
    <row r="10" spans="1:15" s="20" customFormat="1" ht="23.25">
      <c r="A10" s="21" t="s">
        <v>25</v>
      </c>
      <c r="B10" s="22">
        <f>SUM(B11:B17)</f>
        <v>10023.200000000001</v>
      </c>
      <c r="C10" s="53">
        <f>SUM(C11:C17)</f>
        <v>908.11</v>
      </c>
      <c r="D10" s="24">
        <f>SUM(O11:O17)</f>
        <v>10931.31</v>
      </c>
      <c r="E10" s="21" t="s">
        <v>26</v>
      </c>
      <c r="F10" s="25">
        <v>100</v>
      </c>
      <c r="G10" s="54">
        <v>0</v>
      </c>
      <c r="H10" s="27">
        <f t="shared" ref="H10:H15" si="0">+F10+G10</f>
        <v>100</v>
      </c>
      <c r="I10" s="28"/>
      <c r="J10" s="55">
        <v>0</v>
      </c>
      <c r="K10" s="56">
        <f>+I10-J10</f>
        <v>0</v>
      </c>
      <c r="L10" s="57"/>
    </row>
    <row r="11" spans="1:15" s="20" customFormat="1" ht="23.25">
      <c r="A11" s="21" t="s">
        <v>27</v>
      </c>
      <c r="B11" s="31">
        <v>705.31</v>
      </c>
      <c r="C11" s="32">
        <v>25.5</v>
      </c>
      <c r="D11" s="58">
        <f>+B11+C11</f>
        <v>730.81</v>
      </c>
      <c r="E11" s="21" t="s">
        <v>28</v>
      </c>
      <c r="F11" s="31">
        <v>276.14999999999998</v>
      </c>
      <c r="G11" s="54">
        <v>0</v>
      </c>
      <c r="H11" s="27">
        <f t="shared" si="0"/>
        <v>276.14999999999998</v>
      </c>
      <c r="I11" s="33"/>
      <c r="J11" s="43">
        <v>0</v>
      </c>
      <c r="K11" s="44">
        <f>+I11-J11</f>
        <v>0</v>
      </c>
      <c r="L11" s="57"/>
      <c r="O11" s="59">
        <f t="shared" ref="O11:O17" si="1">+B11+C11</f>
        <v>730.81</v>
      </c>
    </row>
    <row r="12" spans="1:15" s="20" customFormat="1" ht="23.25">
      <c r="A12" s="21" t="s">
        <v>29</v>
      </c>
      <c r="B12" s="31">
        <v>730.91</v>
      </c>
      <c r="C12" s="32">
        <v>39.94</v>
      </c>
      <c r="D12" s="58">
        <f t="shared" ref="D12:D17" si="2">+B12+C12</f>
        <v>770.84999999999991</v>
      </c>
      <c r="E12" s="21" t="s">
        <v>30</v>
      </c>
      <c r="F12" s="31">
        <v>86.44</v>
      </c>
      <c r="G12" s="32">
        <v>2.79</v>
      </c>
      <c r="H12" s="27">
        <f t="shared" si="0"/>
        <v>89.23</v>
      </c>
      <c r="I12" s="33"/>
      <c r="J12" s="43">
        <v>0</v>
      </c>
      <c r="K12" s="44">
        <f>+I12-J12</f>
        <v>0</v>
      </c>
      <c r="L12" s="57"/>
      <c r="O12" s="59">
        <f t="shared" si="1"/>
        <v>770.84999999999991</v>
      </c>
    </row>
    <row r="13" spans="1:15" s="20" customFormat="1" ht="23.25">
      <c r="A13" s="21" t="s">
        <v>31</v>
      </c>
      <c r="B13" s="31">
        <v>269.3</v>
      </c>
      <c r="C13" s="32">
        <v>9.4499999999999993</v>
      </c>
      <c r="D13" s="58">
        <f t="shared" si="2"/>
        <v>278.75</v>
      </c>
      <c r="E13" s="21" t="s">
        <v>32</v>
      </c>
      <c r="F13" s="31">
        <v>88.45</v>
      </c>
      <c r="G13" s="23">
        <v>0</v>
      </c>
      <c r="H13" s="27">
        <f t="shared" si="0"/>
        <v>88.45</v>
      </c>
      <c r="I13" s="33"/>
      <c r="J13" s="43">
        <v>0</v>
      </c>
      <c r="K13" s="44">
        <f>+I13-J13</f>
        <v>0</v>
      </c>
      <c r="L13" s="57"/>
      <c r="O13" s="59">
        <f t="shared" si="1"/>
        <v>278.75</v>
      </c>
    </row>
    <row r="14" spans="1:15" s="20" customFormat="1" ht="23.25">
      <c r="A14" s="21" t="s">
        <v>33</v>
      </c>
      <c r="B14" s="31">
        <v>6798</v>
      </c>
      <c r="C14" s="32">
        <v>684.05</v>
      </c>
      <c r="D14" s="58">
        <f t="shared" si="2"/>
        <v>7482.05</v>
      </c>
      <c r="E14" s="21" t="s">
        <v>34</v>
      </c>
      <c r="F14" s="31">
        <v>66.36</v>
      </c>
      <c r="G14" s="23">
        <v>0</v>
      </c>
      <c r="H14" s="27">
        <f t="shared" si="0"/>
        <v>66.36</v>
      </c>
      <c r="I14" s="33"/>
      <c r="J14" s="43">
        <v>0</v>
      </c>
      <c r="K14" s="44">
        <f>+I14-J14</f>
        <v>0</v>
      </c>
      <c r="L14" s="57"/>
      <c r="O14" s="59">
        <f t="shared" si="1"/>
        <v>7482.05</v>
      </c>
    </row>
    <row r="15" spans="1:15" s="20" customFormat="1" ht="23.25">
      <c r="A15" s="21" t="s">
        <v>35</v>
      </c>
      <c r="B15" s="60">
        <v>87.09</v>
      </c>
      <c r="C15" s="32">
        <v>2.61</v>
      </c>
      <c r="D15" s="58">
        <f t="shared" si="2"/>
        <v>89.7</v>
      </c>
      <c r="E15" s="21" t="s">
        <v>36</v>
      </c>
      <c r="F15" s="31">
        <f>1042.74-0.05</f>
        <v>1042.69</v>
      </c>
      <c r="G15" s="32">
        <v>30.58</v>
      </c>
      <c r="H15" s="27">
        <f t="shared" si="0"/>
        <v>1073.27</v>
      </c>
      <c r="I15" s="33">
        <v>160</v>
      </c>
      <c r="J15" s="61">
        <f>36.42+6.97+0.31+2.03+0.01+0.03-1.84+0.25</f>
        <v>44.18</v>
      </c>
      <c r="K15" s="35">
        <f>+I15-J15-J16</f>
        <v>115.82</v>
      </c>
      <c r="L15" s="57"/>
      <c r="O15" s="59">
        <f t="shared" si="1"/>
        <v>89.7</v>
      </c>
    </row>
    <row r="16" spans="1:15" s="20" customFormat="1" ht="23.25">
      <c r="A16" s="21" t="s">
        <v>37</v>
      </c>
      <c r="B16" s="62">
        <v>490.18</v>
      </c>
      <c r="C16" s="32">
        <v>47.71</v>
      </c>
      <c r="D16" s="58">
        <f t="shared" si="2"/>
        <v>537.89</v>
      </c>
      <c r="E16" s="33"/>
      <c r="F16" s="31"/>
      <c r="G16" s="26"/>
      <c r="H16" s="27"/>
      <c r="I16" s="63"/>
      <c r="J16" s="64"/>
      <c r="K16" s="35"/>
      <c r="O16" s="59">
        <f t="shared" si="1"/>
        <v>537.89</v>
      </c>
    </row>
    <row r="17" spans="1:18" s="20" customFormat="1" ht="23.25">
      <c r="A17" s="21" t="s">
        <v>39</v>
      </c>
      <c r="B17" s="65">
        <v>942.41</v>
      </c>
      <c r="C17" s="32">
        <v>98.85</v>
      </c>
      <c r="D17" s="58">
        <f t="shared" si="2"/>
        <v>1041.26</v>
      </c>
      <c r="E17" s="36" t="s">
        <v>40</v>
      </c>
      <c r="F17" s="36">
        <v>1118.68</v>
      </c>
      <c r="G17" s="66">
        <v>0</v>
      </c>
      <c r="H17" s="36">
        <f>+F17+G17</f>
        <v>1118.68</v>
      </c>
      <c r="I17" s="36"/>
      <c r="J17" s="67">
        <v>0</v>
      </c>
      <c r="K17" s="68">
        <f>+I17-J17</f>
        <v>0</v>
      </c>
      <c r="O17" s="59">
        <f t="shared" si="1"/>
        <v>1041.26</v>
      </c>
      <c r="P17" s="69"/>
      <c r="Q17" s="69"/>
      <c r="R17" s="69"/>
    </row>
    <row r="18" spans="1:18" s="20" customFormat="1" ht="23.25">
      <c r="A18" s="63"/>
      <c r="B18" s="70"/>
      <c r="C18" s="71"/>
      <c r="D18" s="72"/>
      <c r="E18" s="73"/>
      <c r="F18" s="74"/>
      <c r="G18" s="75"/>
      <c r="H18" s="76"/>
      <c r="I18" s="77"/>
      <c r="J18" s="78"/>
      <c r="K18" s="79"/>
      <c r="O18" s="80"/>
    </row>
    <row r="19" spans="1:18" s="20" customFormat="1" ht="26.25">
      <c r="A19" s="81"/>
      <c r="B19" s="22"/>
      <c r="C19" s="71"/>
      <c r="D19" s="72"/>
      <c r="E19" s="16" t="s">
        <v>41</v>
      </c>
      <c r="F19" s="16">
        <f>F4+F9</f>
        <v>14670.42</v>
      </c>
      <c r="G19" s="82">
        <f>+G4+G9</f>
        <v>615.07000000000005</v>
      </c>
      <c r="H19" s="83">
        <f>+H4+H9</f>
        <v>15285.490000000002</v>
      </c>
      <c r="I19" s="19">
        <f>+I4+I9</f>
        <v>3300</v>
      </c>
      <c r="J19" s="84">
        <f>+J4+J9</f>
        <v>708.8</v>
      </c>
      <c r="K19" s="51">
        <f>+K4+K9</f>
        <v>2591.2000000000003</v>
      </c>
      <c r="M19" s="20">
        <f>F20+G20</f>
        <v>2719.05</v>
      </c>
      <c r="O19" s="85"/>
    </row>
    <row r="20" spans="1:18" s="20" customFormat="1" ht="23.25">
      <c r="A20" s="86"/>
      <c r="B20" s="74"/>
      <c r="C20" s="71"/>
      <c r="D20" s="80"/>
      <c r="E20" s="87" t="s">
        <v>336</v>
      </c>
      <c r="F20" s="88">
        <f>B22-F19</f>
        <v>2426.0100000000002</v>
      </c>
      <c r="G20" s="89">
        <f>C22-G19</f>
        <v>293.03999999999996</v>
      </c>
      <c r="H20" s="90">
        <f>+D22-H19</f>
        <v>2719.0499999999993</v>
      </c>
      <c r="I20" s="225" t="s">
        <v>337</v>
      </c>
      <c r="J20" s="226"/>
      <c r="K20" s="227"/>
      <c r="M20" s="20">
        <f>652.57+6.61</f>
        <v>659.18000000000006</v>
      </c>
      <c r="N20" s="20">
        <f>649.23+6.61</f>
        <v>655.84</v>
      </c>
    </row>
    <row r="21" spans="1:18" s="20" customFormat="1" ht="23.25">
      <c r="A21" s="91"/>
      <c r="B21" s="40"/>
      <c r="C21" s="92"/>
      <c r="D21" s="93"/>
      <c r="E21" s="94" t="s">
        <v>335</v>
      </c>
      <c r="F21" s="95"/>
      <c r="G21" s="96"/>
      <c r="H21" s="97"/>
      <c r="I21" s="214" t="s">
        <v>338</v>
      </c>
      <c r="J21" s="215"/>
      <c r="K21" s="216"/>
      <c r="L21" s="20">
        <f>1433.2+618.44</f>
        <v>2051.6400000000003</v>
      </c>
      <c r="M21" s="20">
        <f>627.4+6.61-17.2</f>
        <v>616.80999999999995</v>
      </c>
      <c r="N21" s="20">
        <f>+H19-H22</f>
        <v>-2719.0499999999993</v>
      </c>
    </row>
    <row r="22" spans="1:18" s="20" customFormat="1" ht="23.25">
      <c r="A22" s="98" t="s">
        <v>45</v>
      </c>
      <c r="B22" s="99">
        <f>SUM(B4:B10)</f>
        <v>17096.43</v>
      </c>
      <c r="C22" s="100">
        <f>SUM(C4:C10)</f>
        <v>908.11</v>
      </c>
      <c r="D22" s="100">
        <f>SUM(D4:D10)</f>
        <v>18004.54</v>
      </c>
      <c r="E22" s="101" t="s">
        <v>46</v>
      </c>
      <c r="F22" s="102">
        <f>SUM(F19:F20)</f>
        <v>17096.43</v>
      </c>
      <c r="G22" s="103">
        <f>SUM(G19:G20)</f>
        <v>908.11</v>
      </c>
      <c r="H22" s="102">
        <f>+H19+H20</f>
        <v>18004.54</v>
      </c>
      <c r="I22" s="217"/>
      <c r="J22" s="218"/>
      <c r="K22" s="218"/>
      <c r="M22" s="20">
        <f>1715.47+86.81</f>
        <v>1802.28</v>
      </c>
    </row>
    <row r="23" spans="1:18" ht="5.25" hidden="1" customHeight="1"/>
    <row r="24" spans="1:18" ht="23.25" hidden="1" customHeight="1">
      <c r="I24" s="106"/>
      <c r="J24" s="219" t="s">
        <v>47</v>
      </c>
      <c r="K24" s="219"/>
      <c r="L24" s="108"/>
    </row>
    <row r="25" spans="1:18" ht="23.25" hidden="1" customHeight="1">
      <c r="I25" s="106"/>
      <c r="J25" s="207"/>
      <c r="K25" s="207"/>
      <c r="L25" s="108"/>
    </row>
    <row r="26" spans="1:18" ht="29.25" hidden="1">
      <c r="D26" s="105"/>
      <c r="E26" s="109" t="s">
        <v>48</v>
      </c>
      <c r="G26" s="110">
        <f>649.23+6.61</f>
        <v>655.84</v>
      </c>
      <c r="H26" s="109">
        <f>10866.54-10208.33</f>
        <v>658.21000000000095</v>
      </c>
      <c r="I26" s="106">
        <f>+H22-H19</f>
        <v>2719.0499999999993</v>
      </c>
      <c r="J26" s="111">
        <f>+F40</f>
        <v>93.159999999999982</v>
      </c>
      <c r="K26" s="112">
        <f>+I26-J26</f>
        <v>2625.8899999999994</v>
      </c>
      <c r="M26">
        <f>1410.94+620.48</f>
        <v>2031.42</v>
      </c>
    </row>
    <row r="27" spans="1:18" ht="29.25" hidden="1">
      <c r="D27" s="105"/>
      <c r="E27" s="109"/>
      <c r="G27" s="110"/>
      <c r="H27" s="109"/>
      <c r="I27" s="106"/>
      <c r="J27" s="111"/>
      <c r="K27" s="112"/>
    </row>
    <row r="28" spans="1:18" ht="6.75" hidden="1" customHeight="1">
      <c r="D28" s="105"/>
      <c r="E28" s="109"/>
      <c r="G28" s="110"/>
      <c r="H28" s="109"/>
      <c r="I28" s="106"/>
      <c r="J28" s="111"/>
      <c r="K28" s="112"/>
    </row>
    <row r="29" spans="1:18" ht="18.75" hidden="1" customHeight="1">
      <c r="A29" s="113" t="s">
        <v>49</v>
      </c>
      <c r="H29" s="114"/>
    </row>
    <row r="30" spans="1:18" ht="21" hidden="1" customHeight="1">
      <c r="K30" s="114"/>
      <c r="L30">
        <f>19.25-15.42</f>
        <v>3.83</v>
      </c>
      <c r="N30">
        <f>1695.21+103.46</f>
        <v>1798.67</v>
      </c>
    </row>
    <row r="31" spans="1:18" ht="21" customHeight="1">
      <c r="G31" s="115"/>
      <c r="K31" s="114"/>
    </row>
    <row r="32" spans="1:18" ht="21">
      <c r="C32" s="116"/>
      <c r="E32" s="117" t="s">
        <v>50</v>
      </c>
      <c r="F32" s="118">
        <f>+K71</f>
        <v>5.67</v>
      </c>
      <c r="H32" s="109"/>
    </row>
    <row r="33" spans="1:16" ht="21.75" customHeight="1">
      <c r="A33" s="119"/>
      <c r="C33" s="120"/>
      <c r="E33" s="117" t="s">
        <v>51</v>
      </c>
      <c r="F33" s="118">
        <v>0.31</v>
      </c>
      <c r="H33" s="109"/>
      <c r="L33" s="105">
        <f>1403.63+434.78</f>
        <v>1838.41</v>
      </c>
    </row>
    <row r="34" spans="1:16" ht="21.75" customHeight="1">
      <c r="A34" s="119"/>
      <c r="C34" s="120"/>
      <c r="E34" s="121" t="s">
        <v>52</v>
      </c>
      <c r="F34" s="118">
        <f>+K47</f>
        <v>0</v>
      </c>
      <c r="H34" s="109"/>
      <c r="L34" s="105"/>
    </row>
    <row r="35" spans="1:16" ht="23.25" hidden="1">
      <c r="A35" s="119"/>
      <c r="C35" s="120"/>
      <c r="E35" s="121" t="s">
        <v>53</v>
      </c>
      <c r="F35" s="114">
        <f>+K52</f>
        <v>0</v>
      </c>
      <c r="G35" s="110"/>
      <c r="H35" s="122"/>
    </row>
    <row r="36" spans="1:16" ht="23.25" hidden="1">
      <c r="A36" s="119"/>
      <c r="C36" s="120"/>
      <c r="E36" s="121" t="s">
        <v>54</v>
      </c>
      <c r="F36" s="114">
        <f>+K57</f>
        <v>0</v>
      </c>
      <c r="G36" s="110"/>
      <c r="H36" s="122"/>
    </row>
    <row r="37" spans="1:16" ht="23.25">
      <c r="A37" s="119"/>
      <c r="C37" s="120"/>
      <c r="E37" s="121" t="s">
        <v>55</v>
      </c>
      <c r="F37" s="114">
        <f>+K62</f>
        <v>0.33000000000000007</v>
      </c>
      <c r="G37" s="110"/>
      <c r="H37" s="122"/>
    </row>
    <row r="38" spans="1:16" ht="23.25">
      <c r="A38" s="119"/>
      <c r="C38" s="120"/>
      <c r="E38" s="121" t="s">
        <v>56</v>
      </c>
      <c r="F38" s="114">
        <f>K66</f>
        <v>1.7799999999999998</v>
      </c>
      <c r="G38" s="110"/>
      <c r="H38" s="122"/>
    </row>
    <row r="39" spans="1:16" ht="23.25">
      <c r="A39" s="119"/>
      <c r="C39" s="120"/>
      <c r="E39" s="121" t="s">
        <v>204</v>
      </c>
      <c r="F39" s="114">
        <f>+K70</f>
        <v>85.069999999999979</v>
      </c>
      <c r="G39" s="110"/>
      <c r="H39" s="122"/>
    </row>
    <row r="40" spans="1:16" ht="21.75" customHeight="1" thickBot="1">
      <c r="A40" s="119"/>
      <c r="C40" s="120"/>
      <c r="E40" s="121" t="s">
        <v>57</v>
      </c>
      <c r="F40" s="123">
        <f>SUM(F32:F39)</f>
        <v>93.159999999999982</v>
      </c>
      <c r="G40" s="115"/>
      <c r="H40" s="109"/>
    </row>
    <row r="41" spans="1:16" ht="23.25">
      <c r="A41" s="119"/>
      <c r="C41" s="120"/>
      <c r="E41" s="113"/>
      <c r="G41" s="124" t="s">
        <v>58</v>
      </c>
      <c r="H41" s="125" t="s">
        <v>59</v>
      </c>
      <c r="I41" s="125" t="s">
        <v>60</v>
      </c>
      <c r="J41" s="125" t="s">
        <v>61</v>
      </c>
      <c r="K41" s="125" t="s">
        <v>62</v>
      </c>
    </row>
    <row r="42" spans="1:16" ht="17.25" hidden="1" customHeight="1">
      <c r="A42" s="126"/>
      <c r="C42" s="120"/>
      <c r="F42" t="s">
        <v>63</v>
      </c>
      <c r="G42" s="104">
        <v>1.47</v>
      </c>
      <c r="H42" s="114">
        <v>0</v>
      </c>
      <c r="I42" s="114">
        <v>0</v>
      </c>
      <c r="J42" s="114">
        <v>1.47</v>
      </c>
      <c r="K42" s="114">
        <f>+G42+H42-I42-J42</f>
        <v>0</v>
      </c>
    </row>
    <row r="43" spans="1:16" ht="21" hidden="1">
      <c r="A43" s="126"/>
      <c r="C43" s="120"/>
      <c r="E43" s="121"/>
      <c r="F43" t="s">
        <v>64</v>
      </c>
      <c r="G43" s="104">
        <f>71.52-0.01</f>
        <v>71.509999999999991</v>
      </c>
      <c r="H43" s="114">
        <v>0</v>
      </c>
      <c r="I43" s="114">
        <v>0</v>
      </c>
      <c r="J43" s="114">
        <f>71.52-0.01</f>
        <v>71.509999999999991</v>
      </c>
      <c r="K43" s="114">
        <f>+G43+H43-I43-J43</f>
        <v>0</v>
      </c>
      <c r="L43" t="s">
        <v>65</v>
      </c>
    </row>
    <row r="44" spans="1:16" ht="24" thickBot="1">
      <c r="A44" s="119"/>
      <c r="C44" s="120"/>
      <c r="E44" s="121" t="s">
        <v>52</v>
      </c>
      <c r="F44" t="s">
        <v>66</v>
      </c>
      <c r="G44" s="120">
        <v>0.04</v>
      </c>
      <c r="H44" s="114">
        <v>0</v>
      </c>
      <c r="I44" s="114">
        <v>0</v>
      </c>
      <c r="J44" s="114">
        <v>0.04</v>
      </c>
      <c r="K44" s="114">
        <f>+G44+H44-I44-J44</f>
        <v>0</v>
      </c>
      <c r="L44" s="127" t="s">
        <v>67</v>
      </c>
      <c r="P44" t="s">
        <v>68</v>
      </c>
    </row>
    <row r="45" spans="1:16" ht="21.75" hidden="1" thickBot="1">
      <c r="A45" s="126"/>
      <c r="E45" s="121"/>
      <c r="F45" s="128" t="s">
        <v>50</v>
      </c>
      <c r="G45" s="120"/>
      <c r="H45" s="114">
        <v>0</v>
      </c>
      <c r="I45" s="114">
        <v>0</v>
      </c>
      <c r="J45" s="114">
        <v>0</v>
      </c>
      <c r="K45" s="114">
        <f>+G45+H45-I45-J45</f>
        <v>0</v>
      </c>
      <c r="L45" s="114"/>
    </row>
    <row r="46" spans="1:16" ht="21.75" hidden="1" thickBot="1">
      <c r="A46" s="126"/>
      <c r="E46" s="121"/>
      <c r="F46" s="129" t="s">
        <v>51</v>
      </c>
      <c r="G46" s="120"/>
      <c r="H46" s="114"/>
      <c r="I46" s="114"/>
      <c r="J46" s="114"/>
      <c r="K46" s="114">
        <f>+G46+H46-I46-J46</f>
        <v>0</v>
      </c>
      <c r="L46" s="114"/>
    </row>
    <row r="47" spans="1:16" ht="21.75" thickBot="1">
      <c r="A47" s="126"/>
      <c r="C47" s="120"/>
      <c r="E47" s="121"/>
      <c r="G47" s="130"/>
      <c r="H47" s="114"/>
      <c r="I47" s="114"/>
      <c r="J47"/>
      <c r="K47" s="131">
        <f>SUM(K42:K46)</f>
        <v>0</v>
      </c>
    </row>
    <row r="48" spans="1:16" hidden="1">
      <c r="F48" t="s">
        <v>63</v>
      </c>
      <c r="G48" s="120">
        <f>17.91+0.08</f>
        <v>17.989999999999998</v>
      </c>
      <c r="H48" s="114">
        <v>8</v>
      </c>
      <c r="I48" s="114">
        <f>5+0.73</f>
        <v>5.73</v>
      </c>
      <c r="J48" s="114">
        <f>17.99+2.27</f>
        <v>20.259999999999998</v>
      </c>
      <c r="K48" s="114">
        <f>+G48+H48-I48-J48</f>
        <v>0</v>
      </c>
    </row>
    <row r="49" spans="5:18" ht="17.25" hidden="1" customHeight="1">
      <c r="E49" s="121" t="s">
        <v>53</v>
      </c>
      <c r="F49" t="s">
        <v>64</v>
      </c>
      <c r="G49" s="132">
        <v>0.69</v>
      </c>
      <c r="H49" s="114"/>
      <c r="I49" s="114"/>
      <c r="J49" s="114">
        <v>0.69</v>
      </c>
      <c r="K49" s="114">
        <f>+G49+H49-I49-J49</f>
        <v>0</v>
      </c>
    </row>
    <row r="50" spans="5:18" ht="17.25" hidden="1" customHeight="1" thickBot="1">
      <c r="E50" s="113"/>
      <c r="F50" t="s">
        <v>66</v>
      </c>
      <c r="G50" s="120">
        <v>0.01</v>
      </c>
      <c r="H50" s="114"/>
      <c r="I50" s="114">
        <v>0</v>
      </c>
      <c r="J50" s="114">
        <v>0.01</v>
      </c>
      <c r="K50" s="114">
        <f>+G50+H50-I50-J50</f>
        <v>0</v>
      </c>
    </row>
    <row r="51" spans="5:18" ht="18.75" hidden="1" customHeight="1" thickBot="1">
      <c r="E51" s="113"/>
      <c r="F51" s="128" t="s">
        <v>50</v>
      </c>
      <c r="G51" s="120"/>
      <c r="H51" s="114">
        <v>0</v>
      </c>
      <c r="I51" s="114">
        <v>0</v>
      </c>
      <c r="J51" s="114">
        <v>0</v>
      </c>
      <c r="K51" s="114">
        <f>+H51-I51-J51</f>
        <v>0</v>
      </c>
      <c r="L51" s="114">
        <f>SUM(K48:K51)</f>
        <v>0</v>
      </c>
    </row>
    <row r="52" spans="5:18" ht="18.75" hidden="1" customHeight="1" thickBot="1">
      <c r="E52" s="113"/>
      <c r="G52" s="120"/>
      <c r="H52" s="114"/>
      <c r="I52" s="114"/>
      <c r="J52"/>
      <c r="K52" s="131">
        <f>SUM(K48:K51)</f>
        <v>0</v>
      </c>
      <c r="M52" s="105">
        <f>+K48+K49+K50</f>
        <v>0</v>
      </c>
      <c r="R52" s="105">
        <f>+G44+G50+G55+G61</f>
        <v>0.76</v>
      </c>
    </row>
    <row r="53" spans="5:18" ht="21" hidden="1">
      <c r="E53" s="121" t="s">
        <v>69</v>
      </c>
      <c r="F53" t="s">
        <v>63</v>
      </c>
      <c r="G53" s="120">
        <v>0</v>
      </c>
      <c r="H53" s="114"/>
      <c r="I53" s="114"/>
      <c r="J53" s="114">
        <v>0</v>
      </c>
      <c r="K53" s="114">
        <f>+G53+H53-I53-J53</f>
        <v>0</v>
      </c>
    </row>
    <row r="54" spans="5:18" ht="15.75" hidden="1" customHeight="1">
      <c r="E54" s="113"/>
      <c r="F54" t="s">
        <v>64</v>
      </c>
      <c r="G54" s="120">
        <v>0</v>
      </c>
      <c r="H54" s="114">
        <v>0</v>
      </c>
      <c r="I54" s="114">
        <v>0</v>
      </c>
      <c r="J54" s="114"/>
      <c r="K54" s="114">
        <f t="shared" ref="K54:K56" si="3">+G54+H54-I54-J54</f>
        <v>0</v>
      </c>
    </row>
    <row r="55" spans="5:18" ht="15.75" hidden="1" customHeight="1" thickBot="1">
      <c r="E55" s="113"/>
      <c r="F55" t="s">
        <v>66</v>
      </c>
      <c r="G55" s="120">
        <v>0.15</v>
      </c>
      <c r="H55" s="114">
        <v>0</v>
      </c>
      <c r="I55" s="114">
        <v>0.13</v>
      </c>
      <c r="J55" s="114">
        <v>0.02</v>
      </c>
      <c r="K55" s="114">
        <f t="shared" si="3"/>
        <v>0</v>
      </c>
    </row>
    <row r="56" spans="5:18" ht="15.75" hidden="1" customHeight="1" thickBot="1">
      <c r="E56" s="113"/>
      <c r="F56" s="128" t="s">
        <v>50</v>
      </c>
      <c r="G56" s="120"/>
      <c r="H56" s="114">
        <v>0</v>
      </c>
      <c r="I56" s="114">
        <v>0</v>
      </c>
      <c r="J56" s="114">
        <v>0</v>
      </c>
      <c r="K56" s="114">
        <f t="shared" si="3"/>
        <v>0</v>
      </c>
      <c r="L56" s="114">
        <f>SUM(K53:K56)</f>
        <v>0</v>
      </c>
      <c r="M56" s="105">
        <f>SUM(K53:K56)</f>
        <v>0</v>
      </c>
    </row>
    <row r="57" spans="5:18" ht="18.75" hidden="1" customHeight="1" thickBot="1">
      <c r="E57" s="113"/>
      <c r="F57" s="128"/>
      <c r="G57" s="120"/>
      <c r="H57" s="114"/>
      <c r="I57" s="114"/>
      <c r="J57" s="114"/>
      <c r="K57" s="131">
        <f>SUM(K53:K56)</f>
        <v>0</v>
      </c>
      <c r="L57" s="114"/>
    </row>
    <row r="58" spans="5:18" ht="18.75" customHeight="1">
      <c r="E58" s="121" t="s">
        <v>70</v>
      </c>
      <c r="F58" t="s">
        <v>63</v>
      </c>
      <c r="G58" s="120">
        <v>0</v>
      </c>
      <c r="H58" s="114">
        <v>0</v>
      </c>
      <c r="I58" s="114"/>
      <c r="J58" s="114">
        <v>0</v>
      </c>
      <c r="K58" s="114">
        <f>+G58+H58-I58-J58</f>
        <v>0</v>
      </c>
      <c r="L58" s="114"/>
    </row>
    <row r="59" spans="5:18" ht="18.75" customHeight="1">
      <c r="E59" s="113"/>
      <c r="F59" t="s">
        <v>64</v>
      </c>
      <c r="G59" s="120">
        <v>4.07</v>
      </c>
      <c r="H59" s="114">
        <v>0</v>
      </c>
      <c r="I59" s="114">
        <v>4.07</v>
      </c>
      <c r="J59" s="114">
        <v>0</v>
      </c>
      <c r="K59" s="114">
        <f t="shared" ref="K59" si="4">+G59+H59-I59-J59</f>
        <v>0</v>
      </c>
      <c r="L59" s="114"/>
    </row>
    <row r="60" spans="5:18" ht="18.75" customHeight="1">
      <c r="E60" s="113"/>
      <c r="F60" s="133" t="s">
        <v>71</v>
      </c>
      <c r="G60" s="120">
        <v>0.02</v>
      </c>
      <c r="H60" s="114">
        <v>0</v>
      </c>
      <c r="I60" s="114"/>
      <c r="J60" s="114">
        <v>0.02</v>
      </c>
      <c r="K60" s="114">
        <f>+G60+H60-I60-J60</f>
        <v>0</v>
      </c>
      <c r="L60" s="114"/>
    </row>
    <row r="61" spans="5:18" ht="18.75" customHeight="1" thickBot="1">
      <c r="E61" s="113"/>
      <c r="F61" t="s">
        <v>66</v>
      </c>
      <c r="G61" s="120">
        <v>0.56000000000000005</v>
      </c>
      <c r="H61" s="114">
        <v>0</v>
      </c>
      <c r="I61" s="114"/>
      <c r="J61" s="105">
        <f>0.11+0.09+0.01+0.02</f>
        <v>0.23</v>
      </c>
      <c r="K61" s="114">
        <f>+G61+H61-I61-J61</f>
        <v>0.33000000000000007</v>
      </c>
      <c r="L61" s="114"/>
      <c r="R61" s="105"/>
    </row>
    <row r="62" spans="5:18" ht="18.75" customHeight="1" thickBot="1">
      <c r="E62" s="113"/>
      <c r="G62" s="120"/>
      <c r="H62" s="114"/>
      <c r="I62" s="114"/>
      <c r="K62" s="134">
        <f>SUM(K58:K61)</f>
        <v>0.33000000000000007</v>
      </c>
      <c r="L62" s="114"/>
    </row>
    <row r="63" spans="5:18" ht="18.75" customHeight="1">
      <c r="E63" s="121" t="s">
        <v>72</v>
      </c>
      <c r="F63" t="s">
        <v>63</v>
      </c>
      <c r="G63" s="120">
        <v>1.02</v>
      </c>
      <c r="H63" s="114">
        <v>0</v>
      </c>
      <c r="I63" s="114">
        <v>1</v>
      </c>
      <c r="J63" s="114">
        <v>0.02</v>
      </c>
      <c r="K63" s="114">
        <f>+G63+H63-I63-J63</f>
        <v>0</v>
      </c>
      <c r="L63" s="114"/>
      <c r="Q63" s="125"/>
      <c r="R63" s="105"/>
    </row>
    <row r="64" spans="5:18" ht="18.75" customHeight="1">
      <c r="E64" s="113"/>
      <c r="F64" t="s">
        <v>64</v>
      </c>
      <c r="G64" s="120">
        <v>3.97</v>
      </c>
      <c r="H64" s="114">
        <v>0</v>
      </c>
      <c r="I64" s="114">
        <v>3.97</v>
      </c>
      <c r="J64" s="114"/>
      <c r="K64" s="114">
        <f t="shared" ref="K64" si="5">+G64+H64-I64-J64</f>
        <v>0</v>
      </c>
      <c r="L64" s="114"/>
      <c r="Q64" s="125"/>
      <c r="R64" s="105"/>
    </row>
    <row r="65" spans="5:24" ht="18.75" customHeight="1" thickBot="1">
      <c r="E65" s="113"/>
      <c r="F65" t="s">
        <v>66</v>
      </c>
      <c r="G65" s="120">
        <f>4+0.01</f>
        <v>4.01</v>
      </c>
      <c r="H65" s="114">
        <v>0</v>
      </c>
      <c r="I65" s="114">
        <v>0.48</v>
      </c>
      <c r="J65" s="105">
        <f>0.82+0.64+0.26+0.01+0.02</f>
        <v>1.75</v>
      </c>
      <c r="K65" s="114">
        <f>+G65+H65-I65-J65</f>
        <v>1.7799999999999998</v>
      </c>
      <c r="L65" s="114"/>
      <c r="R65" s="105"/>
      <c r="S65" s="105"/>
    </row>
    <row r="66" spans="5:24" ht="18.75" customHeight="1" thickBot="1">
      <c r="E66" s="113"/>
      <c r="G66" s="120"/>
      <c r="H66" s="114"/>
      <c r="I66" s="114"/>
      <c r="J66" s="114"/>
      <c r="K66" s="134">
        <f>SUM(K63:K65)</f>
        <v>1.7799999999999998</v>
      </c>
      <c r="L66" s="114"/>
    </row>
    <row r="67" spans="5:24" ht="18.75" customHeight="1">
      <c r="E67" s="121" t="s">
        <v>204</v>
      </c>
      <c r="F67" t="s">
        <v>63</v>
      </c>
      <c r="G67" s="120">
        <v>0</v>
      </c>
      <c r="H67" s="114">
        <f>609.82+3.76</f>
        <v>613.58000000000004</v>
      </c>
      <c r="I67" s="114">
        <f>455.11+80.71-0.01</f>
        <v>535.81000000000006</v>
      </c>
      <c r="J67" s="114">
        <f>7.89+10.31</f>
        <v>18.2</v>
      </c>
      <c r="K67" s="114">
        <f>+G67+H67-I67-J67</f>
        <v>59.569999999999979</v>
      </c>
      <c r="L67" s="114"/>
      <c r="Q67" s="205">
        <f>+H67+H68+H69</f>
        <v>708.8</v>
      </c>
      <c r="R67" s="105">
        <f>+I63+I67</f>
        <v>536.81000000000006</v>
      </c>
    </row>
    <row r="68" spans="5:24" ht="18.75" customHeight="1">
      <c r="E68" s="113"/>
      <c r="F68" t="s">
        <v>64</v>
      </c>
      <c r="G68" s="120">
        <v>0</v>
      </c>
      <c r="H68" s="114">
        <f>3.21+4.36+9.78+5.9+6.03+21.76</f>
        <v>51.040000000000006</v>
      </c>
      <c r="I68" s="114">
        <f>29.71+7.12</f>
        <v>36.83</v>
      </c>
      <c r="J68" s="114"/>
      <c r="K68" s="114">
        <f t="shared" ref="K68" si="6">+G68+H68-I68-J68</f>
        <v>14.210000000000008</v>
      </c>
      <c r="L68" s="114"/>
      <c r="Q68" s="125"/>
      <c r="R68" s="105">
        <f>+I59+I64+I68</f>
        <v>44.87</v>
      </c>
    </row>
    <row r="69" spans="5:24" ht="18.75" customHeight="1" thickBot="1">
      <c r="E69" s="113"/>
      <c r="F69" t="s">
        <v>66</v>
      </c>
      <c r="G69" s="120">
        <v>0</v>
      </c>
      <c r="H69" s="114">
        <f>44.18</f>
        <v>44.18</v>
      </c>
      <c r="I69" s="114">
        <f>30.11+2.7-0.04</f>
        <v>32.770000000000003</v>
      </c>
      <c r="J69" s="105">
        <f>0.04+0.08</f>
        <v>0.12</v>
      </c>
      <c r="K69" s="114">
        <f>+G69+H69-I69-J69</f>
        <v>11.289999999999997</v>
      </c>
      <c r="L69" s="114"/>
      <c r="R69" s="105">
        <f>+I65+I69+I71</f>
        <v>33.39</v>
      </c>
      <c r="S69" s="105"/>
    </row>
    <row r="70" spans="5:24" ht="18.75" customHeight="1" thickBot="1">
      <c r="E70" s="113"/>
      <c r="G70" s="120"/>
      <c r="H70" s="114"/>
      <c r="I70" s="114"/>
      <c r="J70" s="114"/>
      <c r="K70" s="134">
        <f>SUM(K67:K69)</f>
        <v>85.069999999999979</v>
      </c>
      <c r="L70" s="114"/>
      <c r="R70" s="105">
        <f>SUM(R67:R69)</f>
        <v>615.07000000000005</v>
      </c>
      <c r="T70" s="105">
        <f>+J44+J60+J61+J63+J65+J67+J69</f>
        <v>20.38</v>
      </c>
    </row>
    <row r="71" spans="5:24" ht="18.75" customHeight="1">
      <c r="E71" s="113"/>
      <c r="F71" s="129" t="s">
        <v>50</v>
      </c>
      <c r="G71" s="120">
        <v>4.05</v>
      </c>
      <c r="H71" s="209">
        <f>1.71+0.05</f>
        <v>1.76</v>
      </c>
      <c r="I71" s="114">
        <f>0.07+0.01+0.02+0.04</f>
        <v>0.14000000000000001</v>
      </c>
      <c r="J71"/>
      <c r="K71" s="114">
        <f>+G71+H71-I71</f>
        <v>5.67</v>
      </c>
      <c r="R71" s="105"/>
    </row>
    <row r="72" spans="5:24" ht="18.75" customHeight="1" thickBot="1">
      <c r="E72" s="113"/>
      <c r="F72" s="129" t="s">
        <v>51</v>
      </c>
      <c r="G72" s="120">
        <v>0.31</v>
      </c>
      <c r="H72" s="114"/>
      <c r="I72" s="114"/>
      <c r="J72"/>
      <c r="K72" s="114">
        <f>+G72+H72-I72-J72</f>
        <v>0.31</v>
      </c>
      <c r="R72" s="105"/>
      <c r="V72" s="105">
        <f>+H67+H68+H69</f>
        <v>708.8</v>
      </c>
      <c r="W72" s="105">
        <f>SUM(I59:I71)</f>
        <v>615.07000000000005</v>
      </c>
      <c r="X72" s="105">
        <f>+J44+J60+J61+J63+J65+J67+J69</f>
        <v>20.38</v>
      </c>
    </row>
    <row r="73" spans="5:24" ht="18.75" customHeight="1" thickBot="1">
      <c r="E73" s="121" t="s">
        <v>73</v>
      </c>
      <c r="H73" s="114"/>
      <c r="I73" s="114"/>
      <c r="J73"/>
      <c r="K73" s="131">
        <f>+K47+K52+K57+K62+K70+K71+K72+K66</f>
        <v>93.159999999999982</v>
      </c>
      <c r="M73" s="105">
        <f>+K52+K71+K72</f>
        <v>5.9799999999999995</v>
      </c>
      <c r="R73" s="105"/>
    </row>
    <row r="74" spans="5:24" ht="18.75" customHeight="1">
      <c r="E74" s="121" t="s">
        <v>205</v>
      </c>
      <c r="H74" s="114"/>
      <c r="I74" s="114"/>
      <c r="J74"/>
      <c r="K74" s="135"/>
      <c r="M74" s="105"/>
      <c r="R74" s="105"/>
    </row>
    <row r="75" spans="5:24" ht="15.75" customHeight="1">
      <c r="E75" s="136" t="s">
        <v>75</v>
      </c>
      <c r="G75" s="120">
        <v>0</v>
      </c>
      <c r="H75" s="114"/>
      <c r="J75" s="137"/>
      <c r="K75" s="114">
        <f>+G75-H75-I75-J75</f>
        <v>0</v>
      </c>
      <c r="R75" s="105"/>
    </row>
    <row r="76" spans="5:24" ht="15.75" customHeight="1" thickBot="1">
      <c r="E76" s="138" t="s">
        <v>63</v>
      </c>
      <c r="G76" s="120">
        <v>12</v>
      </c>
      <c r="H76" s="114"/>
      <c r="J76" s="137"/>
      <c r="K76" s="114">
        <f t="shared" ref="K76" si="7">+G76-H76-I76-J76</f>
        <v>12</v>
      </c>
      <c r="R76" s="105"/>
    </row>
    <row r="77" spans="5:24" ht="18.75" customHeight="1" thickBot="1">
      <c r="E77" s="136"/>
      <c r="H77" s="114"/>
      <c r="I77" s="114"/>
      <c r="J77"/>
      <c r="K77" s="131">
        <f>SUM(K75:K76)</f>
        <v>12</v>
      </c>
      <c r="M77" s="105"/>
    </row>
    <row r="78" spans="5:24" ht="18.75" customHeight="1">
      <c r="E78" s="121" t="s">
        <v>206</v>
      </c>
      <c r="R78" s="105"/>
    </row>
    <row r="79" spans="5:24" ht="15.75" customHeight="1">
      <c r="E79" s="136" t="s">
        <v>63</v>
      </c>
      <c r="J79" s="137">
        <v>0</v>
      </c>
      <c r="K79" s="114">
        <f>+K5-J79</f>
        <v>26.419999999999959</v>
      </c>
    </row>
    <row r="80" spans="5:24" ht="18" customHeight="1">
      <c r="E80" s="136" t="s">
        <v>75</v>
      </c>
      <c r="J80" s="105">
        <v>0</v>
      </c>
      <c r="K80" s="114">
        <f>+K6</f>
        <v>1898.96</v>
      </c>
    </row>
    <row r="81" spans="5:11" ht="15.75" customHeight="1">
      <c r="E81" s="136" t="s">
        <v>66</v>
      </c>
      <c r="J81" s="137">
        <v>0</v>
      </c>
      <c r="K81" s="114">
        <f>+K8-J81</f>
        <v>550</v>
      </c>
    </row>
    <row r="82" spans="5:11" ht="15.75" customHeight="1" thickBot="1">
      <c r="E82" s="136" t="s">
        <v>78</v>
      </c>
      <c r="J82" s="137">
        <v>0</v>
      </c>
      <c r="K82" s="114">
        <f>+K15-J82</f>
        <v>115.82</v>
      </c>
    </row>
    <row r="83" spans="5:11" ht="18.75" customHeight="1" thickBot="1">
      <c r="E83" s="121" t="s">
        <v>79</v>
      </c>
      <c r="J83" s="139">
        <f>SUM(J79:J82)</f>
        <v>0</v>
      </c>
      <c r="K83" s="140">
        <f>SUM(K79:K82)</f>
        <v>2591.2000000000003</v>
      </c>
    </row>
    <row r="84" spans="5:11" ht="23.25" customHeight="1" thickBot="1">
      <c r="E84" s="121" t="s">
        <v>80</v>
      </c>
      <c r="K84" s="141">
        <f>+K73+K77+K83</f>
        <v>2696.36</v>
      </c>
    </row>
    <row r="85" spans="5:11" ht="18.75" customHeight="1" thickBot="1">
      <c r="E85" s="198" t="s">
        <v>330</v>
      </c>
      <c r="K85" s="142">
        <f>+H20</f>
        <v>2719.0499999999993</v>
      </c>
    </row>
    <row r="86" spans="5:11" ht="23.25" customHeight="1" thickBot="1">
      <c r="E86" s="121" t="s">
        <v>82</v>
      </c>
      <c r="K86" s="143">
        <f>+K85-K84</f>
        <v>22.689999999999145</v>
      </c>
    </row>
    <row r="87" spans="5:11" ht="6.75" customHeight="1"/>
    <row r="88" spans="5:11" hidden="1"/>
    <row r="89" spans="5:11" hidden="1"/>
    <row r="90" spans="5:11" hidden="1"/>
    <row r="91" spans="5:11" hidden="1"/>
    <row r="92" spans="5:11" hidden="1"/>
    <row r="93" spans="5:11" ht="29.25" hidden="1">
      <c r="E93" s="109" t="s">
        <v>83</v>
      </c>
      <c r="G93" s="110">
        <f>649.23+6.61</f>
        <v>655.84</v>
      </c>
      <c r="H93" s="109">
        <f>10866.54-10208.33</f>
        <v>658.21000000000095</v>
      </c>
      <c r="I93" s="106">
        <v>1796.26</v>
      </c>
      <c r="J93" s="111">
        <f>+F100</f>
        <v>84.19</v>
      </c>
      <c r="K93" s="112">
        <f>+I93-J93</f>
        <v>1712.07</v>
      </c>
    </row>
    <row r="94" spans="5:11" hidden="1">
      <c r="H94" s="114"/>
    </row>
    <row r="95" spans="5:11" ht="21" hidden="1">
      <c r="E95" s="121" t="s">
        <v>84</v>
      </c>
      <c r="F95" s="118">
        <f>7.39-2-0.1-0.5-2.94-0.94</f>
        <v>0.91000000000000014</v>
      </c>
      <c r="G95" s="115"/>
      <c r="K95" s="114"/>
    </row>
    <row r="96" spans="5:11" ht="21" hidden="1">
      <c r="E96" s="121" t="s">
        <v>84</v>
      </c>
      <c r="F96" s="144">
        <f>-0.1-0.03-0.35-0.43</f>
        <v>-0.90999999999999992</v>
      </c>
      <c r="G96" s="115" t="s">
        <v>61</v>
      </c>
      <c r="K96" s="114"/>
    </row>
    <row r="97" spans="5:11" ht="21" hidden="1">
      <c r="E97" s="117" t="s">
        <v>50</v>
      </c>
      <c r="F97" s="118">
        <v>0.66</v>
      </c>
    </row>
    <row r="98" spans="5:11" ht="21" hidden="1">
      <c r="E98" s="117" t="s">
        <v>51</v>
      </c>
      <c r="F98" s="118">
        <v>0.31</v>
      </c>
      <c r="H98" s="109"/>
    </row>
    <row r="99" spans="5:11" ht="21" hidden="1">
      <c r="E99" s="121" t="s">
        <v>52</v>
      </c>
      <c r="F99" s="114">
        <f>190.07+11.66+0.01-3.08-0.04-25.64-3.26-2.85+64.94+0.86-2.19-15.72-3.83-16.38-0.35-0.29-89.5-29.27+3.12+3.88+0.02+1.06</f>
        <v>83.22</v>
      </c>
      <c r="G99" s="110"/>
      <c r="H99" s="122"/>
    </row>
    <row r="100" spans="5:11" hidden="1">
      <c r="E100" s="113"/>
      <c r="F100" s="145">
        <f>SUM(F95:F99)</f>
        <v>84.19</v>
      </c>
      <c r="G100" s="115"/>
      <c r="H100" s="109"/>
    </row>
    <row r="101" spans="5:11" hidden="1">
      <c r="E101" s="113"/>
      <c r="G101" s="124" t="s">
        <v>85</v>
      </c>
      <c r="H101" s="125" t="s">
        <v>60</v>
      </c>
      <c r="I101" s="125" t="s">
        <v>61</v>
      </c>
      <c r="J101" s="125" t="s">
        <v>62</v>
      </c>
    </row>
    <row r="102" spans="5:11" ht="21" hidden="1">
      <c r="E102" s="121" t="s">
        <v>52</v>
      </c>
      <c r="F102" t="s">
        <v>63</v>
      </c>
      <c r="G102" s="120">
        <f>410.71+316.98+108.36+17.17</f>
        <v>853.22</v>
      </c>
      <c r="H102" s="114">
        <v>790.87</v>
      </c>
      <c r="I102">
        <f>3.19+14.05+19.83+3.08+16.38</f>
        <v>56.53</v>
      </c>
      <c r="J102" s="114">
        <f>+G102-H102-I102</f>
        <v>5.8200000000000216</v>
      </c>
    </row>
    <row r="103" spans="5:11" ht="21" hidden="1">
      <c r="E103" s="121"/>
      <c r="F103" t="s">
        <v>64</v>
      </c>
      <c r="G103" s="120">
        <f>0.9+44.05+21.2+27.17+11.66+64.94</f>
        <v>169.92</v>
      </c>
      <c r="H103" s="127">
        <f>67.88-2.94+29.27+3.83</f>
        <v>98.039999999999992</v>
      </c>
      <c r="I103">
        <v>0.35</v>
      </c>
      <c r="J103" s="114">
        <f>+G103-H103-I103</f>
        <v>71.53</v>
      </c>
    </row>
    <row r="104" spans="5:11" ht="21" hidden="1">
      <c r="E104" s="121"/>
      <c r="F104" t="s">
        <v>66</v>
      </c>
      <c r="G104" s="120">
        <f>24.35+0.37+0.13+0.01+0.02+3.12</f>
        <v>28.000000000000004</v>
      </c>
      <c r="H104" s="114">
        <f>24.62-2.01+0.25</f>
        <v>22.86</v>
      </c>
      <c r="I104">
        <f>0.04+0.29</f>
        <v>0.32999999999999996</v>
      </c>
      <c r="J104" s="114">
        <f>+G104-H104-I104</f>
        <v>4.8100000000000041</v>
      </c>
    </row>
    <row r="105" spans="5:11" ht="21" hidden="1">
      <c r="E105" s="121"/>
      <c r="F105" t="s">
        <v>86</v>
      </c>
      <c r="G105" s="120"/>
      <c r="H105" s="114"/>
      <c r="J105" s="114">
        <v>1.06</v>
      </c>
    </row>
    <row r="106" spans="5:11" ht="21.75" hidden="1" thickBot="1">
      <c r="E106" s="121"/>
      <c r="G106" s="120"/>
      <c r="H106" s="114"/>
      <c r="J106" s="131">
        <f>SUM(J102:J105)</f>
        <v>83.220000000000027</v>
      </c>
    </row>
    <row r="107" spans="5:11" ht="21" hidden="1">
      <c r="E107" s="121" t="s">
        <v>84</v>
      </c>
      <c r="F107" t="s">
        <v>63</v>
      </c>
      <c r="G107" s="120">
        <v>2</v>
      </c>
      <c r="H107" s="114">
        <v>2</v>
      </c>
      <c r="J107" s="114">
        <f>+G107-H107-I107</f>
        <v>0</v>
      </c>
    </row>
    <row r="108" spans="5:11" hidden="1">
      <c r="E108" s="113"/>
      <c r="F108" t="s">
        <v>64</v>
      </c>
      <c r="G108" s="120">
        <v>7.11</v>
      </c>
      <c r="H108" s="127">
        <v>6.76</v>
      </c>
      <c r="I108" s="114">
        <v>0.35</v>
      </c>
      <c r="J108" s="114">
        <f>+G108-H108-I108</f>
        <v>5.5511151231257827E-16</v>
      </c>
    </row>
    <row r="109" spans="5:11" hidden="1">
      <c r="E109" s="113"/>
      <c r="F109" t="s">
        <v>66</v>
      </c>
      <c r="G109" s="120">
        <f>2.67-0.1</f>
        <v>2.57</v>
      </c>
      <c r="H109" s="114">
        <f>0.33+0.19+0.05+0.5+0.94</f>
        <v>2.0099999999999998</v>
      </c>
      <c r="I109" s="114">
        <f>0.13+0.43</f>
        <v>0.56000000000000005</v>
      </c>
      <c r="J109" s="114">
        <f>+G109-H109-I109</f>
        <v>0</v>
      </c>
    </row>
    <row r="110" spans="5:11" ht="13.5" hidden="1" thickBot="1">
      <c r="E110" s="113"/>
      <c r="G110" s="120"/>
      <c r="H110" s="114"/>
      <c r="J110" s="131">
        <f>SUM(J107:J109)</f>
        <v>5.5511151231257827E-16</v>
      </c>
      <c r="K110" s="114"/>
    </row>
    <row r="111" spans="5:11" ht="18" hidden="1">
      <c r="E111" s="113"/>
      <c r="F111" s="129" t="s">
        <v>50</v>
      </c>
      <c r="G111" s="120"/>
      <c r="H111" s="114"/>
      <c r="J111" s="114">
        <v>0.66</v>
      </c>
      <c r="K111" s="114"/>
    </row>
    <row r="112" spans="5:11" ht="18" hidden="1">
      <c r="E112" s="113"/>
      <c r="F112" s="129" t="s">
        <v>51</v>
      </c>
      <c r="G112" s="120"/>
      <c r="H112" s="114"/>
      <c r="J112" s="114">
        <v>0.31</v>
      </c>
      <c r="K112" s="114"/>
    </row>
    <row r="113" spans="5:11" ht="21.75" hidden="1" thickBot="1">
      <c r="E113" s="121" t="s">
        <v>87</v>
      </c>
      <c r="G113" s="120"/>
      <c r="H113" s="114"/>
      <c r="J113" s="140">
        <f>+J106+J110+J111+J112</f>
        <v>84.190000000000026</v>
      </c>
      <c r="K113" s="114">
        <f>+F100-J113</f>
        <v>0</v>
      </c>
    </row>
  </sheetData>
  <mergeCells count="9">
    <mergeCell ref="I21:K21"/>
    <mergeCell ref="I22:K22"/>
    <mergeCell ref="J24:K24"/>
    <mergeCell ref="A1:I1"/>
    <mergeCell ref="J1:K1"/>
    <mergeCell ref="A2:D2"/>
    <mergeCell ref="E2:H2"/>
    <mergeCell ref="I2:K2"/>
    <mergeCell ref="I20:K20"/>
  </mergeCells>
  <printOptions horizontalCentered="1"/>
  <pageMargins left="0.51181102362204722" right="0.15748031496062992" top="0.9055118110236221" bottom="0" header="0.51181102362204722" footer="0"/>
  <pageSetup paperSize="9" scale="78" orientation="landscape" horizontalDpi="4294967293" r:id="rId1"/>
  <headerFooter alignWithMargins="0">
    <oddHeader>&amp;R&amp;P</oddHeader>
    <oddFooter>&amp;Rกงบ. สบท. 10 ก.ย.2558</oddFooter>
  </headerFooter>
  <rowBreaks count="3" manualBreakCount="3">
    <brk id="26" max="16383" man="1"/>
    <brk id="73" max="10" man="1"/>
    <brk id="87" max="16383" man="1"/>
  </rowBreaks>
  <colBreaks count="1" manualBreakCount="1">
    <brk id="11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U46"/>
  <sheetViews>
    <sheetView topLeftCell="A23" zoomScaleSheetLayoutView="75" workbookViewId="0">
      <selection activeCell="J15" sqref="J15"/>
    </sheetView>
  </sheetViews>
  <sheetFormatPr defaultRowHeight="21"/>
  <cols>
    <col min="1" max="1" width="2.42578125" style="146" customWidth="1"/>
    <col min="2" max="2" width="4.28515625" style="146" customWidth="1"/>
    <col min="3" max="3" width="4.5703125" style="146" customWidth="1"/>
    <col min="4" max="5" width="9.140625" style="146"/>
    <col min="6" max="6" width="16.42578125" style="146" customWidth="1"/>
    <col min="7" max="7" width="12.28515625" style="146" customWidth="1"/>
    <col min="8" max="8" width="13.28515625" style="146" customWidth="1"/>
    <col min="9" max="9" width="12.5703125" style="147" customWidth="1"/>
    <col min="10" max="10" width="11.5703125" style="146" customWidth="1"/>
    <col min="11" max="11" width="1.7109375" style="146" customWidth="1"/>
    <col min="12" max="13" width="9.140625" style="146"/>
    <col min="14" max="14" width="18.140625" style="147" hidden="1" customWidth="1"/>
    <col min="15" max="15" width="0" style="146" hidden="1" customWidth="1"/>
    <col min="16" max="16" width="9.140625" style="146" hidden="1" customWidth="1"/>
    <col min="17" max="17" width="9.140625" style="146"/>
    <col min="18" max="18" width="17.28515625" style="146" hidden="1" customWidth="1"/>
    <col min="19" max="19" width="18.140625" style="146" hidden="1" customWidth="1"/>
    <col min="20" max="20" width="0" style="146" hidden="1" customWidth="1"/>
    <col min="21" max="21" width="21.140625" style="146" bestFit="1" customWidth="1"/>
    <col min="22" max="256" width="9.140625" style="146"/>
    <col min="257" max="257" width="2.42578125" style="146" customWidth="1"/>
    <col min="258" max="258" width="4.28515625" style="146" customWidth="1"/>
    <col min="259" max="259" width="4.5703125" style="146" customWidth="1"/>
    <col min="260" max="261" width="9.140625" style="146"/>
    <col min="262" max="262" width="16.42578125" style="146" customWidth="1"/>
    <col min="263" max="263" width="12.28515625" style="146" customWidth="1"/>
    <col min="264" max="264" width="13.28515625" style="146" customWidth="1"/>
    <col min="265" max="265" width="12.5703125" style="146" customWidth="1"/>
    <col min="266" max="266" width="11.5703125" style="146" customWidth="1"/>
    <col min="267" max="267" width="1.7109375" style="146" customWidth="1"/>
    <col min="268" max="269" width="9.140625" style="146"/>
    <col min="270" max="272" width="0" style="146" hidden="1" customWidth="1"/>
    <col min="273" max="273" width="9.140625" style="146"/>
    <col min="274" max="275" width="0" style="146" hidden="1" customWidth="1"/>
    <col min="276" max="512" width="9.140625" style="146"/>
    <col min="513" max="513" width="2.42578125" style="146" customWidth="1"/>
    <col min="514" max="514" width="4.28515625" style="146" customWidth="1"/>
    <col min="515" max="515" width="4.5703125" style="146" customWidth="1"/>
    <col min="516" max="517" width="9.140625" style="146"/>
    <col min="518" max="518" width="16.42578125" style="146" customWidth="1"/>
    <col min="519" max="519" width="12.28515625" style="146" customWidth="1"/>
    <col min="520" max="520" width="13.28515625" style="146" customWidth="1"/>
    <col min="521" max="521" width="12.5703125" style="146" customWidth="1"/>
    <col min="522" max="522" width="11.5703125" style="146" customWidth="1"/>
    <col min="523" max="523" width="1.7109375" style="146" customWidth="1"/>
    <col min="524" max="525" width="9.140625" style="146"/>
    <col min="526" max="528" width="0" style="146" hidden="1" customWidth="1"/>
    <col min="529" max="529" width="9.140625" style="146"/>
    <col min="530" max="531" width="0" style="146" hidden="1" customWidth="1"/>
    <col min="532" max="768" width="9.140625" style="146"/>
    <col min="769" max="769" width="2.42578125" style="146" customWidth="1"/>
    <col min="770" max="770" width="4.28515625" style="146" customWidth="1"/>
    <col min="771" max="771" width="4.5703125" style="146" customWidth="1"/>
    <col min="772" max="773" width="9.140625" style="146"/>
    <col min="774" max="774" width="16.42578125" style="146" customWidth="1"/>
    <col min="775" max="775" width="12.28515625" style="146" customWidth="1"/>
    <col min="776" max="776" width="13.28515625" style="146" customWidth="1"/>
    <col min="777" max="777" width="12.5703125" style="146" customWidth="1"/>
    <col min="778" max="778" width="11.5703125" style="146" customWidth="1"/>
    <col min="779" max="779" width="1.7109375" style="146" customWidth="1"/>
    <col min="780" max="781" width="9.140625" style="146"/>
    <col min="782" max="784" width="0" style="146" hidden="1" customWidth="1"/>
    <col min="785" max="785" width="9.140625" style="146"/>
    <col min="786" max="787" width="0" style="146" hidden="1" customWidth="1"/>
    <col min="788" max="1024" width="9.140625" style="146"/>
    <col min="1025" max="1025" width="2.42578125" style="146" customWidth="1"/>
    <col min="1026" max="1026" width="4.28515625" style="146" customWidth="1"/>
    <col min="1027" max="1027" width="4.5703125" style="146" customWidth="1"/>
    <col min="1028" max="1029" width="9.140625" style="146"/>
    <col min="1030" max="1030" width="16.42578125" style="146" customWidth="1"/>
    <col min="1031" max="1031" width="12.28515625" style="146" customWidth="1"/>
    <col min="1032" max="1032" width="13.28515625" style="146" customWidth="1"/>
    <col min="1033" max="1033" width="12.5703125" style="146" customWidth="1"/>
    <col min="1034" max="1034" width="11.5703125" style="146" customWidth="1"/>
    <col min="1035" max="1035" width="1.7109375" style="146" customWidth="1"/>
    <col min="1036" max="1037" width="9.140625" style="146"/>
    <col min="1038" max="1040" width="0" style="146" hidden="1" customWidth="1"/>
    <col min="1041" max="1041" width="9.140625" style="146"/>
    <col min="1042" max="1043" width="0" style="146" hidden="1" customWidth="1"/>
    <col min="1044" max="1280" width="9.140625" style="146"/>
    <col min="1281" max="1281" width="2.42578125" style="146" customWidth="1"/>
    <col min="1282" max="1282" width="4.28515625" style="146" customWidth="1"/>
    <col min="1283" max="1283" width="4.5703125" style="146" customWidth="1"/>
    <col min="1284" max="1285" width="9.140625" style="146"/>
    <col min="1286" max="1286" width="16.42578125" style="146" customWidth="1"/>
    <col min="1287" max="1287" width="12.28515625" style="146" customWidth="1"/>
    <col min="1288" max="1288" width="13.28515625" style="146" customWidth="1"/>
    <col min="1289" max="1289" width="12.5703125" style="146" customWidth="1"/>
    <col min="1290" max="1290" width="11.5703125" style="146" customWidth="1"/>
    <col min="1291" max="1291" width="1.7109375" style="146" customWidth="1"/>
    <col min="1292" max="1293" width="9.140625" style="146"/>
    <col min="1294" max="1296" width="0" style="146" hidden="1" customWidth="1"/>
    <col min="1297" max="1297" width="9.140625" style="146"/>
    <col min="1298" max="1299" width="0" style="146" hidden="1" customWidth="1"/>
    <col min="1300" max="1536" width="9.140625" style="146"/>
    <col min="1537" max="1537" width="2.42578125" style="146" customWidth="1"/>
    <col min="1538" max="1538" width="4.28515625" style="146" customWidth="1"/>
    <col min="1539" max="1539" width="4.5703125" style="146" customWidth="1"/>
    <col min="1540" max="1541" width="9.140625" style="146"/>
    <col min="1542" max="1542" width="16.42578125" style="146" customWidth="1"/>
    <col min="1543" max="1543" width="12.28515625" style="146" customWidth="1"/>
    <col min="1544" max="1544" width="13.28515625" style="146" customWidth="1"/>
    <col min="1545" max="1545" width="12.5703125" style="146" customWidth="1"/>
    <col min="1546" max="1546" width="11.5703125" style="146" customWidth="1"/>
    <col min="1547" max="1547" width="1.7109375" style="146" customWidth="1"/>
    <col min="1548" max="1549" width="9.140625" style="146"/>
    <col min="1550" max="1552" width="0" style="146" hidden="1" customWidth="1"/>
    <col min="1553" max="1553" width="9.140625" style="146"/>
    <col min="1554" max="1555" width="0" style="146" hidden="1" customWidth="1"/>
    <col min="1556" max="1792" width="9.140625" style="146"/>
    <col min="1793" max="1793" width="2.42578125" style="146" customWidth="1"/>
    <col min="1794" max="1794" width="4.28515625" style="146" customWidth="1"/>
    <col min="1795" max="1795" width="4.5703125" style="146" customWidth="1"/>
    <col min="1796" max="1797" width="9.140625" style="146"/>
    <col min="1798" max="1798" width="16.42578125" style="146" customWidth="1"/>
    <col min="1799" max="1799" width="12.28515625" style="146" customWidth="1"/>
    <col min="1800" max="1800" width="13.28515625" style="146" customWidth="1"/>
    <col min="1801" max="1801" width="12.5703125" style="146" customWidth="1"/>
    <col min="1802" max="1802" width="11.5703125" style="146" customWidth="1"/>
    <col min="1803" max="1803" width="1.7109375" style="146" customWidth="1"/>
    <col min="1804" max="1805" width="9.140625" style="146"/>
    <col min="1806" max="1808" width="0" style="146" hidden="1" customWidth="1"/>
    <col min="1809" max="1809" width="9.140625" style="146"/>
    <col min="1810" max="1811" width="0" style="146" hidden="1" customWidth="1"/>
    <col min="1812" max="2048" width="9.140625" style="146"/>
    <col min="2049" max="2049" width="2.42578125" style="146" customWidth="1"/>
    <col min="2050" max="2050" width="4.28515625" style="146" customWidth="1"/>
    <col min="2051" max="2051" width="4.5703125" style="146" customWidth="1"/>
    <col min="2052" max="2053" width="9.140625" style="146"/>
    <col min="2054" max="2054" width="16.42578125" style="146" customWidth="1"/>
    <col min="2055" max="2055" width="12.28515625" style="146" customWidth="1"/>
    <col min="2056" max="2056" width="13.28515625" style="146" customWidth="1"/>
    <col min="2057" max="2057" width="12.5703125" style="146" customWidth="1"/>
    <col min="2058" max="2058" width="11.5703125" style="146" customWidth="1"/>
    <col min="2059" max="2059" width="1.7109375" style="146" customWidth="1"/>
    <col min="2060" max="2061" width="9.140625" style="146"/>
    <col min="2062" max="2064" width="0" style="146" hidden="1" customWidth="1"/>
    <col min="2065" max="2065" width="9.140625" style="146"/>
    <col min="2066" max="2067" width="0" style="146" hidden="1" customWidth="1"/>
    <col min="2068" max="2304" width="9.140625" style="146"/>
    <col min="2305" max="2305" width="2.42578125" style="146" customWidth="1"/>
    <col min="2306" max="2306" width="4.28515625" style="146" customWidth="1"/>
    <col min="2307" max="2307" width="4.5703125" style="146" customWidth="1"/>
    <col min="2308" max="2309" width="9.140625" style="146"/>
    <col min="2310" max="2310" width="16.42578125" style="146" customWidth="1"/>
    <col min="2311" max="2311" width="12.28515625" style="146" customWidth="1"/>
    <col min="2312" max="2312" width="13.28515625" style="146" customWidth="1"/>
    <col min="2313" max="2313" width="12.5703125" style="146" customWidth="1"/>
    <col min="2314" max="2314" width="11.5703125" style="146" customWidth="1"/>
    <col min="2315" max="2315" width="1.7109375" style="146" customWidth="1"/>
    <col min="2316" max="2317" width="9.140625" style="146"/>
    <col min="2318" max="2320" width="0" style="146" hidden="1" customWidth="1"/>
    <col min="2321" max="2321" width="9.140625" style="146"/>
    <col min="2322" max="2323" width="0" style="146" hidden="1" customWidth="1"/>
    <col min="2324" max="2560" width="9.140625" style="146"/>
    <col min="2561" max="2561" width="2.42578125" style="146" customWidth="1"/>
    <col min="2562" max="2562" width="4.28515625" style="146" customWidth="1"/>
    <col min="2563" max="2563" width="4.5703125" style="146" customWidth="1"/>
    <col min="2564" max="2565" width="9.140625" style="146"/>
    <col min="2566" max="2566" width="16.42578125" style="146" customWidth="1"/>
    <col min="2567" max="2567" width="12.28515625" style="146" customWidth="1"/>
    <col min="2568" max="2568" width="13.28515625" style="146" customWidth="1"/>
    <col min="2569" max="2569" width="12.5703125" style="146" customWidth="1"/>
    <col min="2570" max="2570" width="11.5703125" style="146" customWidth="1"/>
    <col min="2571" max="2571" width="1.7109375" style="146" customWidth="1"/>
    <col min="2572" max="2573" width="9.140625" style="146"/>
    <col min="2574" max="2576" width="0" style="146" hidden="1" customWidth="1"/>
    <col min="2577" max="2577" width="9.140625" style="146"/>
    <col min="2578" max="2579" width="0" style="146" hidden="1" customWidth="1"/>
    <col min="2580" max="2816" width="9.140625" style="146"/>
    <col min="2817" max="2817" width="2.42578125" style="146" customWidth="1"/>
    <col min="2818" max="2818" width="4.28515625" style="146" customWidth="1"/>
    <col min="2819" max="2819" width="4.5703125" style="146" customWidth="1"/>
    <col min="2820" max="2821" width="9.140625" style="146"/>
    <col min="2822" max="2822" width="16.42578125" style="146" customWidth="1"/>
    <col min="2823" max="2823" width="12.28515625" style="146" customWidth="1"/>
    <col min="2824" max="2824" width="13.28515625" style="146" customWidth="1"/>
    <col min="2825" max="2825" width="12.5703125" style="146" customWidth="1"/>
    <col min="2826" max="2826" width="11.5703125" style="146" customWidth="1"/>
    <col min="2827" max="2827" width="1.7109375" style="146" customWidth="1"/>
    <col min="2828" max="2829" width="9.140625" style="146"/>
    <col min="2830" max="2832" width="0" style="146" hidden="1" customWidth="1"/>
    <col min="2833" max="2833" width="9.140625" style="146"/>
    <col min="2834" max="2835" width="0" style="146" hidden="1" customWidth="1"/>
    <col min="2836" max="3072" width="9.140625" style="146"/>
    <col min="3073" max="3073" width="2.42578125" style="146" customWidth="1"/>
    <col min="3074" max="3074" width="4.28515625" style="146" customWidth="1"/>
    <col min="3075" max="3075" width="4.5703125" style="146" customWidth="1"/>
    <col min="3076" max="3077" width="9.140625" style="146"/>
    <col min="3078" max="3078" width="16.42578125" style="146" customWidth="1"/>
    <col min="3079" max="3079" width="12.28515625" style="146" customWidth="1"/>
    <col min="3080" max="3080" width="13.28515625" style="146" customWidth="1"/>
    <col min="3081" max="3081" width="12.5703125" style="146" customWidth="1"/>
    <col min="3082" max="3082" width="11.5703125" style="146" customWidth="1"/>
    <col min="3083" max="3083" width="1.7109375" style="146" customWidth="1"/>
    <col min="3084" max="3085" width="9.140625" style="146"/>
    <col min="3086" max="3088" width="0" style="146" hidden="1" customWidth="1"/>
    <col min="3089" max="3089" width="9.140625" style="146"/>
    <col min="3090" max="3091" width="0" style="146" hidden="1" customWidth="1"/>
    <col min="3092" max="3328" width="9.140625" style="146"/>
    <col min="3329" max="3329" width="2.42578125" style="146" customWidth="1"/>
    <col min="3330" max="3330" width="4.28515625" style="146" customWidth="1"/>
    <col min="3331" max="3331" width="4.5703125" style="146" customWidth="1"/>
    <col min="3332" max="3333" width="9.140625" style="146"/>
    <col min="3334" max="3334" width="16.42578125" style="146" customWidth="1"/>
    <col min="3335" max="3335" width="12.28515625" style="146" customWidth="1"/>
    <col min="3336" max="3336" width="13.28515625" style="146" customWidth="1"/>
    <col min="3337" max="3337" width="12.5703125" style="146" customWidth="1"/>
    <col min="3338" max="3338" width="11.5703125" style="146" customWidth="1"/>
    <col min="3339" max="3339" width="1.7109375" style="146" customWidth="1"/>
    <col min="3340" max="3341" width="9.140625" style="146"/>
    <col min="3342" max="3344" width="0" style="146" hidden="1" customWidth="1"/>
    <col min="3345" max="3345" width="9.140625" style="146"/>
    <col min="3346" max="3347" width="0" style="146" hidden="1" customWidth="1"/>
    <col min="3348" max="3584" width="9.140625" style="146"/>
    <col min="3585" max="3585" width="2.42578125" style="146" customWidth="1"/>
    <col min="3586" max="3586" width="4.28515625" style="146" customWidth="1"/>
    <col min="3587" max="3587" width="4.5703125" style="146" customWidth="1"/>
    <col min="3588" max="3589" width="9.140625" style="146"/>
    <col min="3590" max="3590" width="16.42578125" style="146" customWidth="1"/>
    <col min="3591" max="3591" width="12.28515625" style="146" customWidth="1"/>
    <col min="3592" max="3592" width="13.28515625" style="146" customWidth="1"/>
    <col min="3593" max="3593" width="12.5703125" style="146" customWidth="1"/>
    <col min="3594" max="3594" width="11.5703125" style="146" customWidth="1"/>
    <col min="3595" max="3595" width="1.7109375" style="146" customWidth="1"/>
    <col min="3596" max="3597" width="9.140625" style="146"/>
    <col min="3598" max="3600" width="0" style="146" hidden="1" customWidth="1"/>
    <col min="3601" max="3601" width="9.140625" style="146"/>
    <col min="3602" max="3603" width="0" style="146" hidden="1" customWidth="1"/>
    <col min="3604" max="3840" width="9.140625" style="146"/>
    <col min="3841" max="3841" width="2.42578125" style="146" customWidth="1"/>
    <col min="3842" max="3842" width="4.28515625" style="146" customWidth="1"/>
    <col min="3843" max="3843" width="4.5703125" style="146" customWidth="1"/>
    <col min="3844" max="3845" width="9.140625" style="146"/>
    <col min="3846" max="3846" width="16.42578125" style="146" customWidth="1"/>
    <col min="3847" max="3847" width="12.28515625" style="146" customWidth="1"/>
    <col min="3848" max="3848" width="13.28515625" style="146" customWidth="1"/>
    <col min="3849" max="3849" width="12.5703125" style="146" customWidth="1"/>
    <col min="3850" max="3850" width="11.5703125" style="146" customWidth="1"/>
    <col min="3851" max="3851" width="1.7109375" style="146" customWidth="1"/>
    <col min="3852" max="3853" width="9.140625" style="146"/>
    <col min="3854" max="3856" width="0" style="146" hidden="1" customWidth="1"/>
    <col min="3857" max="3857" width="9.140625" style="146"/>
    <col min="3858" max="3859" width="0" style="146" hidden="1" customWidth="1"/>
    <col min="3860" max="4096" width="9.140625" style="146"/>
    <col min="4097" max="4097" width="2.42578125" style="146" customWidth="1"/>
    <col min="4098" max="4098" width="4.28515625" style="146" customWidth="1"/>
    <col min="4099" max="4099" width="4.5703125" style="146" customWidth="1"/>
    <col min="4100" max="4101" width="9.140625" style="146"/>
    <col min="4102" max="4102" width="16.42578125" style="146" customWidth="1"/>
    <col min="4103" max="4103" width="12.28515625" style="146" customWidth="1"/>
    <col min="4104" max="4104" width="13.28515625" style="146" customWidth="1"/>
    <col min="4105" max="4105" width="12.5703125" style="146" customWidth="1"/>
    <col min="4106" max="4106" width="11.5703125" style="146" customWidth="1"/>
    <col min="4107" max="4107" width="1.7109375" style="146" customWidth="1"/>
    <col min="4108" max="4109" width="9.140625" style="146"/>
    <col min="4110" max="4112" width="0" style="146" hidden="1" customWidth="1"/>
    <col min="4113" max="4113" width="9.140625" style="146"/>
    <col min="4114" max="4115" width="0" style="146" hidden="1" customWidth="1"/>
    <col min="4116" max="4352" width="9.140625" style="146"/>
    <col min="4353" max="4353" width="2.42578125" style="146" customWidth="1"/>
    <col min="4354" max="4354" width="4.28515625" style="146" customWidth="1"/>
    <col min="4355" max="4355" width="4.5703125" style="146" customWidth="1"/>
    <col min="4356" max="4357" width="9.140625" style="146"/>
    <col min="4358" max="4358" width="16.42578125" style="146" customWidth="1"/>
    <col min="4359" max="4359" width="12.28515625" style="146" customWidth="1"/>
    <col min="4360" max="4360" width="13.28515625" style="146" customWidth="1"/>
    <col min="4361" max="4361" width="12.5703125" style="146" customWidth="1"/>
    <col min="4362" max="4362" width="11.5703125" style="146" customWidth="1"/>
    <col min="4363" max="4363" width="1.7109375" style="146" customWidth="1"/>
    <col min="4364" max="4365" width="9.140625" style="146"/>
    <col min="4366" max="4368" width="0" style="146" hidden="1" customWidth="1"/>
    <col min="4369" max="4369" width="9.140625" style="146"/>
    <col min="4370" max="4371" width="0" style="146" hidden="1" customWidth="1"/>
    <col min="4372" max="4608" width="9.140625" style="146"/>
    <col min="4609" max="4609" width="2.42578125" style="146" customWidth="1"/>
    <col min="4610" max="4610" width="4.28515625" style="146" customWidth="1"/>
    <col min="4611" max="4611" width="4.5703125" style="146" customWidth="1"/>
    <col min="4612" max="4613" width="9.140625" style="146"/>
    <col min="4614" max="4614" width="16.42578125" style="146" customWidth="1"/>
    <col min="4615" max="4615" width="12.28515625" style="146" customWidth="1"/>
    <col min="4616" max="4616" width="13.28515625" style="146" customWidth="1"/>
    <col min="4617" max="4617" width="12.5703125" style="146" customWidth="1"/>
    <col min="4618" max="4618" width="11.5703125" style="146" customWidth="1"/>
    <col min="4619" max="4619" width="1.7109375" style="146" customWidth="1"/>
    <col min="4620" max="4621" width="9.140625" style="146"/>
    <col min="4622" max="4624" width="0" style="146" hidden="1" customWidth="1"/>
    <col min="4625" max="4625" width="9.140625" style="146"/>
    <col min="4626" max="4627" width="0" style="146" hidden="1" customWidth="1"/>
    <col min="4628" max="4864" width="9.140625" style="146"/>
    <col min="4865" max="4865" width="2.42578125" style="146" customWidth="1"/>
    <col min="4866" max="4866" width="4.28515625" style="146" customWidth="1"/>
    <col min="4867" max="4867" width="4.5703125" style="146" customWidth="1"/>
    <col min="4868" max="4869" width="9.140625" style="146"/>
    <col min="4870" max="4870" width="16.42578125" style="146" customWidth="1"/>
    <col min="4871" max="4871" width="12.28515625" style="146" customWidth="1"/>
    <col min="4872" max="4872" width="13.28515625" style="146" customWidth="1"/>
    <col min="4873" max="4873" width="12.5703125" style="146" customWidth="1"/>
    <col min="4874" max="4874" width="11.5703125" style="146" customWidth="1"/>
    <col min="4875" max="4875" width="1.7109375" style="146" customWidth="1"/>
    <col min="4876" max="4877" width="9.140625" style="146"/>
    <col min="4878" max="4880" width="0" style="146" hidden="1" customWidth="1"/>
    <col min="4881" max="4881" width="9.140625" style="146"/>
    <col min="4882" max="4883" width="0" style="146" hidden="1" customWidth="1"/>
    <col min="4884" max="5120" width="9.140625" style="146"/>
    <col min="5121" max="5121" width="2.42578125" style="146" customWidth="1"/>
    <col min="5122" max="5122" width="4.28515625" style="146" customWidth="1"/>
    <col min="5123" max="5123" width="4.5703125" style="146" customWidth="1"/>
    <col min="5124" max="5125" width="9.140625" style="146"/>
    <col min="5126" max="5126" width="16.42578125" style="146" customWidth="1"/>
    <col min="5127" max="5127" width="12.28515625" style="146" customWidth="1"/>
    <col min="5128" max="5128" width="13.28515625" style="146" customWidth="1"/>
    <col min="5129" max="5129" width="12.5703125" style="146" customWidth="1"/>
    <col min="5130" max="5130" width="11.5703125" style="146" customWidth="1"/>
    <col min="5131" max="5131" width="1.7109375" style="146" customWidth="1"/>
    <col min="5132" max="5133" width="9.140625" style="146"/>
    <col min="5134" max="5136" width="0" style="146" hidden="1" customWidth="1"/>
    <col min="5137" max="5137" width="9.140625" style="146"/>
    <col min="5138" max="5139" width="0" style="146" hidden="1" customWidth="1"/>
    <col min="5140" max="5376" width="9.140625" style="146"/>
    <col min="5377" max="5377" width="2.42578125" style="146" customWidth="1"/>
    <col min="5378" max="5378" width="4.28515625" style="146" customWidth="1"/>
    <col min="5379" max="5379" width="4.5703125" style="146" customWidth="1"/>
    <col min="5380" max="5381" width="9.140625" style="146"/>
    <col min="5382" max="5382" width="16.42578125" style="146" customWidth="1"/>
    <col min="5383" max="5383" width="12.28515625" style="146" customWidth="1"/>
    <col min="5384" max="5384" width="13.28515625" style="146" customWidth="1"/>
    <col min="5385" max="5385" width="12.5703125" style="146" customWidth="1"/>
    <col min="5386" max="5386" width="11.5703125" style="146" customWidth="1"/>
    <col min="5387" max="5387" width="1.7109375" style="146" customWidth="1"/>
    <col min="5388" max="5389" width="9.140625" style="146"/>
    <col min="5390" max="5392" width="0" style="146" hidden="1" customWidth="1"/>
    <col min="5393" max="5393" width="9.140625" style="146"/>
    <col min="5394" max="5395" width="0" style="146" hidden="1" customWidth="1"/>
    <col min="5396" max="5632" width="9.140625" style="146"/>
    <col min="5633" max="5633" width="2.42578125" style="146" customWidth="1"/>
    <col min="5634" max="5634" width="4.28515625" style="146" customWidth="1"/>
    <col min="5635" max="5635" width="4.5703125" style="146" customWidth="1"/>
    <col min="5636" max="5637" width="9.140625" style="146"/>
    <col min="5638" max="5638" width="16.42578125" style="146" customWidth="1"/>
    <col min="5639" max="5639" width="12.28515625" style="146" customWidth="1"/>
    <col min="5640" max="5640" width="13.28515625" style="146" customWidth="1"/>
    <col min="5641" max="5641" width="12.5703125" style="146" customWidth="1"/>
    <col min="5642" max="5642" width="11.5703125" style="146" customWidth="1"/>
    <col min="5643" max="5643" width="1.7109375" style="146" customWidth="1"/>
    <col min="5644" max="5645" width="9.140625" style="146"/>
    <col min="5646" max="5648" width="0" style="146" hidden="1" customWidth="1"/>
    <col min="5649" max="5649" width="9.140625" style="146"/>
    <col min="5650" max="5651" width="0" style="146" hidden="1" customWidth="1"/>
    <col min="5652" max="5888" width="9.140625" style="146"/>
    <col min="5889" max="5889" width="2.42578125" style="146" customWidth="1"/>
    <col min="5890" max="5890" width="4.28515625" style="146" customWidth="1"/>
    <col min="5891" max="5891" width="4.5703125" style="146" customWidth="1"/>
    <col min="5892" max="5893" width="9.140625" style="146"/>
    <col min="5894" max="5894" width="16.42578125" style="146" customWidth="1"/>
    <col min="5895" max="5895" width="12.28515625" style="146" customWidth="1"/>
    <col min="5896" max="5896" width="13.28515625" style="146" customWidth="1"/>
    <col min="5897" max="5897" width="12.5703125" style="146" customWidth="1"/>
    <col min="5898" max="5898" width="11.5703125" style="146" customWidth="1"/>
    <col min="5899" max="5899" width="1.7109375" style="146" customWidth="1"/>
    <col min="5900" max="5901" width="9.140625" style="146"/>
    <col min="5902" max="5904" width="0" style="146" hidden="1" customWidth="1"/>
    <col min="5905" max="5905" width="9.140625" style="146"/>
    <col min="5906" max="5907" width="0" style="146" hidden="1" customWidth="1"/>
    <col min="5908" max="6144" width="9.140625" style="146"/>
    <col min="6145" max="6145" width="2.42578125" style="146" customWidth="1"/>
    <col min="6146" max="6146" width="4.28515625" style="146" customWidth="1"/>
    <col min="6147" max="6147" width="4.5703125" style="146" customWidth="1"/>
    <col min="6148" max="6149" width="9.140625" style="146"/>
    <col min="6150" max="6150" width="16.42578125" style="146" customWidth="1"/>
    <col min="6151" max="6151" width="12.28515625" style="146" customWidth="1"/>
    <col min="6152" max="6152" width="13.28515625" style="146" customWidth="1"/>
    <col min="6153" max="6153" width="12.5703125" style="146" customWidth="1"/>
    <col min="6154" max="6154" width="11.5703125" style="146" customWidth="1"/>
    <col min="6155" max="6155" width="1.7109375" style="146" customWidth="1"/>
    <col min="6156" max="6157" width="9.140625" style="146"/>
    <col min="6158" max="6160" width="0" style="146" hidden="1" customWidth="1"/>
    <col min="6161" max="6161" width="9.140625" style="146"/>
    <col min="6162" max="6163" width="0" style="146" hidden="1" customWidth="1"/>
    <col min="6164" max="6400" width="9.140625" style="146"/>
    <col min="6401" max="6401" width="2.42578125" style="146" customWidth="1"/>
    <col min="6402" max="6402" width="4.28515625" style="146" customWidth="1"/>
    <col min="6403" max="6403" width="4.5703125" style="146" customWidth="1"/>
    <col min="6404" max="6405" width="9.140625" style="146"/>
    <col min="6406" max="6406" width="16.42578125" style="146" customWidth="1"/>
    <col min="6407" max="6407" width="12.28515625" style="146" customWidth="1"/>
    <col min="6408" max="6408" width="13.28515625" style="146" customWidth="1"/>
    <col min="6409" max="6409" width="12.5703125" style="146" customWidth="1"/>
    <col min="6410" max="6410" width="11.5703125" style="146" customWidth="1"/>
    <col min="6411" max="6411" width="1.7109375" style="146" customWidth="1"/>
    <col min="6412" max="6413" width="9.140625" style="146"/>
    <col min="6414" max="6416" width="0" style="146" hidden="1" customWidth="1"/>
    <col min="6417" max="6417" width="9.140625" style="146"/>
    <col min="6418" max="6419" width="0" style="146" hidden="1" customWidth="1"/>
    <col min="6420" max="6656" width="9.140625" style="146"/>
    <col min="6657" max="6657" width="2.42578125" style="146" customWidth="1"/>
    <col min="6658" max="6658" width="4.28515625" style="146" customWidth="1"/>
    <col min="6659" max="6659" width="4.5703125" style="146" customWidth="1"/>
    <col min="6660" max="6661" width="9.140625" style="146"/>
    <col min="6662" max="6662" width="16.42578125" style="146" customWidth="1"/>
    <col min="6663" max="6663" width="12.28515625" style="146" customWidth="1"/>
    <col min="6664" max="6664" width="13.28515625" style="146" customWidth="1"/>
    <col min="6665" max="6665" width="12.5703125" style="146" customWidth="1"/>
    <col min="6666" max="6666" width="11.5703125" style="146" customWidth="1"/>
    <col min="6667" max="6667" width="1.7109375" style="146" customWidth="1"/>
    <col min="6668" max="6669" width="9.140625" style="146"/>
    <col min="6670" max="6672" width="0" style="146" hidden="1" customWidth="1"/>
    <col min="6673" max="6673" width="9.140625" style="146"/>
    <col min="6674" max="6675" width="0" style="146" hidden="1" customWidth="1"/>
    <col min="6676" max="6912" width="9.140625" style="146"/>
    <col min="6913" max="6913" width="2.42578125" style="146" customWidth="1"/>
    <col min="6914" max="6914" width="4.28515625" style="146" customWidth="1"/>
    <col min="6915" max="6915" width="4.5703125" style="146" customWidth="1"/>
    <col min="6916" max="6917" width="9.140625" style="146"/>
    <col min="6918" max="6918" width="16.42578125" style="146" customWidth="1"/>
    <col min="6919" max="6919" width="12.28515625" style="146" customWidth="1"/>
    <col min="6920" max="6920" width="13.28515625" style="146" customWidth="1"/>
    <col min="6921" max="6921" width="12.5703125" style="146" customWidth="1"/>
    <col min="6922" max="6922" width="11.5703125" style="146" customWidth="1"/>
    <col min="6923" max="6923" width="1.7109375" style="146" customWidth="1"/>
    <col min="6924" max="6925" width="9.140625" style="146"/>
    <col min="6926" max="6928" width="0" style="146" hidden="1" customWidth="1"/>
    <col min="6929" max="6929" width="9.140625" style="146"/>
    <col min="6930" max="6931" width="0" style="146" hidden="1" customWidth="1"/>
    <col min="6932" max="7168" width="9.140625" style="146"/>
    <col min="7169" max="7169" width="2.42578125" style="146" customWidth="1"/>
    <col min="7170" max="7170" width="4.28515625" style="146" customWidth="1"/>
    <col min="7171" max="7171" width="4.5703125" style="146" customWidth="1"/>
    <col min="7172" max="7173" width="9.140625" style="146"/>
    <col min="7174" max="7174" width="16.42578125" style="146" customWidth="1"/>
    <col min="7175" max="7175" width="12.28515625" style="146" customWidth="1"/>
    <col min="7176" max="7176" width="13.28515625" style="146" customWidth="1"/>
    <col min="7177" max="7177" width="12.5703125" style="146" customWidth="1"/>
    <col min="7178" max="7178" width="11.5703125" style="146" customWidth="1"/>
    <col min="7179" max="7179" width="1.7109375" style="146" customWidth="1"/>
    <col min="7180" max="7181" width="9.140625" style="146"/>
    <col min="7182" max="7184" width="0" style="146" hidden="1" customWidth="1"/>
    <col min="7185" max="7185" width="9.140625" style="146"/>
    <col min="7186" max="7187" width="0" style="146" hidden="1" customWidth="1"/>
    <col min="7188" max="7424" width="9.140625" style="146"/>
    <col min="7425" max="7425" width="2.42578125" style="146" customWidth="1"/>
    <col min="7426" max="7426" width="4.28515625" style="146" customWidth="1"/>
    <col min="7427" max="7427" width="4.5703125" style="146" customWidth="1"/>
    <col min="7428" max="7429" width="9.140625" style="146"/>
    <col min="7430" max="7430" width="16.42578125" style="146" customWidth="1"/>
    <col min="7431" max="7431" width="12.28515625" style="146" customWidth="1"/>
    <col min="7432" max="7432" width="13.28515625" style="146" customWidth="1"/>
    <col min="7433" max="7433" width="12.5703125" style="146" customWidth="1"/>
    <col min="7434" max="7434" width="11.5703125" style="146" customWidth="1"/>
    <col min="7435" max="7435" width="1.7109375" style="146" customWidth="1"/>
    <col min="7436" max="7437" width="9.140625" style="146"/>
    <col min="7438" max="7440" width="0" style="146" hidden="1" customWidth="1"/>
    <col min="7441" max="7441" width="9.140625" style="146"/>
    <col min="7442" max="7443" width="0" style="146" hidden="1" customWidth="1"/>
    <col min="7444" max="7680" width="9.140625" style="146"/>
    <col min="7681" max="7681" width="2.42578125" style="146" customWidth="1"/>
    <col min="7682" max="7682" width="4.28515625" style="146" customWidth="1"/>
    <col min="7683" max="7683" width="4.5703125" style="146" customWidth="1"/>
    <col min="7684" max="7685" width="9.140625" style="146"/>
    <col min="7686" max="7686" width="16.42578125" style="146" customWidth="1"/>
    <col min="7687" max="7687" width="12.28515625" style="146" customWidth="1"/>
    <col min="7688" max="7688" width="13.28515625" style="146" customWidth="1"/>
    <col min="7689" max="7689" width="12.5703125" style="146" customWidth="1"/>
    <col min="7690" max="7690" width="11.5703125" style="146" customWidth="1"/>
    <col min="7691" max="7691" width="1.7109375" style="146" customWidth="1"/>
    <col min="7692" max="7693" width="9.140625" style="146"/>
    <col min="7694" max="7696" width="0" style="146" hidden="1" customWidth="1"/>
    <col min="7697" max="7697" width="9.140625" style="146"/>
    <col min="7698" max="7699" width="0" style="146" hidden="1" customWidth="1"/>
    <col min="7700" max="7936" width="9.140625" style="146"/>
    <col min="7937" max="7937" width="2.42578125" style="146" customWidth="1"/>
    <col min="7938" max="7938" width="4.28515625" style="146" customWidth="1"/>
    <col min="7939" max="7939" width="4.5703125" style="146" customWidth="1"/>
    <col min="7940" max="7941" width="9.140625" style="146"/>
    <col min="7942" max="7942" width="16.42578125" style="146" customWidth="1"/>
    <col min="7943" max="7943" width="12.28515625" style="146" customWidth="1"/>
    <col min="7944" max="7944" width="13.28515625" style="146" customWidth="1"/>
    <col min="7945" max="7945" width="12.5703125" style="146" customWidth="1"/>
    <col min="7946" max="7946" width="11.5703125" style="146" customWidth="1"/>
    <col min="7947" max="7947" width="1.7109375" style="146" customWidth="1"/>
    <col min="7948" max="7949" width="9.140625" style="146"/>
    <col min="7950" max="7952" width="0" style="146" hidden="1" customWidth="1"/>
    <col min="7953" max="7953" width="9.140625" style="146"/>
    <col min="7954" max="7955" width="0" style="146" hidden="1" customWidth="1"/>
    <col min="7956" max="8192" width="9.140625" style="146"/>
    <col min="8193" max="8193" width="2.42578125" style="146" customWidth="1"/>
    <col min="8194" max="8194" width="4.28515625" style="146" customWidth="1"/>
    <col min="8195" max="8195" width="4.5703125" style="146" customWidth="1"/>
    <col min="8196" max="8197" width="9.140625" style="146"/>
    <col min="8198" max="8198" width="16.42578125" style="146" customWidth="1"/>
    <col min="8199" max="8199" width="12.28515625" style="146" customWidth="1"/>
    <col min="8200" max="8200" width="13.28515625" style="146" customWidth="1"/>
    <col min="8201" max="8201" width="12.5703125" style="146" customWidth="1"/>
    <col min="8202" max="8202" width="11.5703125" style="146" customWidth="1"/>
    <col min="8203" max="8203" width="1.7109375" style="146" customWidth="1"/>
    <col min="8204" max="8205" width="9.140625" style="146"/>
    <col min="8206" max="8208" width="0" style="146" hidden="1" customWidth="1"/>
    <col min="8209" max="8209" width="9.140625" style="146"/>
    <col min="8210" max="8211" width="0" style="146" hidden="1" customWidth="1"/>
    <col min="8212" max="8448" width="9.140625" style="146"/>
    <col min="8449" max="8449" width="2.42578125" style="146" customWidth="1"/>
    <col min="8450" max="8450" width="4.28515625" style="146" customWidth="1"/>
    <col min="8451" max="8451" width="4.5703125" style="146" customWidth="1"/>
    <col min="8452" max="8453" width="9.140625" style="146"/>
    <col min="8454" max="8454" width="16.42578125" style="146" customWidth="1"/>
    <col min="8455" max="8455" width="12.28515625" style="146" customWidth="1"/>
    <col min="8456" max="8456" width="13.28515625" style="146" customWidth="1"/>
    <col min="8457" max="8457" width="12.5703125" style="146" customWidth="1"/>
    <col min="8458" max="8458" width="11.5703125" style="146" customWidth="1"/>
    <col min="8459" max="8459" width="1.7109375" style="146" customWidth="1"/>
    <col min="8460" max="8461" width="9.140625" style="146"/>
    <col min="8462" max="8464" width="0" style="146" hidden="1" customWidth="1"/>
    <col min="8465" max="8465" width="9.140625" style="146"/>
    <col min="8466" max="8467" width="0" style="146" hidden="1" customWidth="1"/>
    <col min="8468" max="8704" width="9.140625" style="146"/>
    <col min="8705" max="8705" width="2.42578125" style="146" customWidth="1"/>
    <col min="8706" max="8706" width="4.28515625" style="146" customWidth="1"/>
    <col min="8707" max="8707" width="4.5703125" style="146" customWidth="1"/>
    <col min="8708" max="8709" width="9.140625" style="146"/>
    <col min="8710" max="8710" width="16.42578125" style="146" customWidth="1"/>
    <col min="8711" max="8711" width="12.28515625" style="146" customWidth="1"/>
    <col min="8712" max="8712" width="13.28515625" style="146" customWidth="1"/>
    <col min="8713" max="8713" width="12.5703125" style="146" customWidth="1"/>
    <col min="8714" max="8714" width="11.5703125" style="146" customWidth="1"/>
    <col min="8715" max="8715" width="1.7109375" style="146" customWidth="1"/>
    <col min="8716" max="8717" width="9.140625" style="146"/>
    <col min="8718" max="8720" width="0" style="146" hidden="1" customWidth="1"/>
    <col min="8721" max="8721" width="9.140625" style="146"/>
    <col min="8722" max="8723" width="0" style="146" hidden="1" customWidth="1"/>
    <col min="8724" max="8960" width="9.140625" style="146"/>
    <col min="8961" max="8961" width="2.42578125" style="146" customWidth="1"/>
    <col min="8962" max="8962" width="4.28515625" style="146" customWidth="1"/>
    <col min="8963" max="8963" width="4.5703125" style="146" customWidth="1"/>
    <col min="8964" max="8965" width="9.140625" style="146"/>
    <col min="8966" max="8966" width="16.42578125" style="146" customWidth="1"/>
    <col min="8967" max="8967" width="12.28515625" style="146" customWidth="1"/>
    <col min="8968" max="8968" width="13.28515625" style="146" customWidth="1"/>
    <col min="8969" max="8969" width="12.5703125" style="146" customWidth="1"/>
    <col min="8970" max="8970" width="11.5703125" style="146" customWidth="1"/>
    <col min="8971" max="8971" width="1.7109375" style="146" customWidth="1"/>
    <col min="8972" max="8973" width="9.140625" style="146"/>
    <col min="8974" max="8976" width="0" style="146" hidden="1" customWidth="1"/>
    <col min="8977" max="8977" width="9.140625" style="146"/>
    <col min="8978" max="8979" width="0" style="146" hidden="1" customWidth="1"/>
    <col min="8980" max="9216" width="9.140625" style="146"/>
    <col min="9217" max="9217" width="2.42578125" style="146" customWidth="1"/>
    <col min="9218" max="9218" width="4.28515625" style="146" customWidth="1"/>
    <col min="9219" max="9219" width="4.5703125" style="146" customWidth="1"/>
    <col min="9220" max="9221" width="9.140625" style="146"/>
    <col min="9222" max="9222" width="16.42578125" style="146" customWidth="1"/>
    <col min="9223" max="9223" width="12.28515625" style="146" customWidth="1"/>
    <col min="9224" max="9224" width="13.28515625" style="146" customWidth="1"/>
    <col min="9225" max="9225" width="12.5703125" style="146" customWidth="1"/>
    <col min="9226" max="9226" width="11.5703125" style="146" customWidth="1"/>
    <col min="9227" max="9227" width="1.7109375" style="146" customWidth="1"/>
    <col min="9228" max="9229" width="9.140625" style="146"/>
    <col min="9230" max="9232" width="0" style="146" hidden="1" customWidth="1"/>
    <col min="9233" max="9233" width="9.140625" style="146"/>
    <col min="9234" max="9235" width="0" style="146" hidden="1" customWidth="1"/>
    <col min="9236" max="9472" width="9.140625" style="146"/>
    <col min="9473" max="9473" width="2.42578125" style="146" customWidth="1"/>
    <col min="9474" max="9474" width="4.28515625" style="146" customWidth="1"/>
    <col min="9475" max="9475" width="4.5703125" style="146" customWidth="1"/>
    <col min="9476" max="9477" width="9.140625" style="146"/>
    <col min="9478" max="9478" width="16.42578125" style="146" customWidth="1"/>
    <col min="9479" max="9479" width="12.28515625" style="146" customWidth="1"/>
    <col min="9480" max="9480" width="13.28515625" style="146" customWidth="1"/>
    <col min="9481" max="9481" width="12.5703125" style="146" customWidth="1"/>
    <col min="9482" max="9482" width="11.5703125" style="146" customWidth="1"/>
    <col min="9483" max="9483" width="1.7109375" style="146" customWidth="1"/>
    <col min="9484" max="9485" width="9.140625" style="146"/>
    <col min="9486" max="9488" width="0" style="146" hidden="1" customWidth="1"/>
    <col min="9489" max="9489" width="9.140625" style="146"/>
    <col min="9490" max="9491" width="0" style="146" hidden="1" customWidth="1"/>
    <col min="9492" max="9728" width="9.140625" style="146"/>
    <col min="9729" max="9729" width="2.42578125" style="146" customWidth="1"/>
    <col min="9730" max="9730" width="4.28515625" style="146" customWidth="1"/>
    <col min="9731" max="9731" width="4.5703125" style="146" customWidth="1"/>
    <col min="9732" max="9733" width="9.140625" style="146"/>
    <col min="9734" max="9734" width="16.42578125" style="146" customWidth="1"/>
    <col min="9735" max="9735" width="12.28515625" style="146" customWidth="1"/>
    <col min="9736" max="9736" width="13.28515625" style="146" customWidth="1"/>
    <col min="9737" max="9737" width="12.5703125" style="146" customWidth="1"/>
    <col min="9738" max="9738" width="11.5703125" style="146" customWidth="1"/>
    <col min="9739" max="9739" width="1.7109375" style="146" customWidth="1"/>
    <col min="9740" max="9741" width="9.140625" style="146"/>
    <col min="9742" max="9744" width="0" style="146" hidden="1" customWidth="1"/>
    <col min="9745" max="9745" width="9.140625" style="146"/>
    <col min="9746" max="9747" width="0" style="146" hidden="1" customWidth="1"/>
    <col min="9748" max="9984" width="9.140625" style="146"/>
    <col min="9985" max="9985" width="2.42578125" style="146" customWidth="1"/>
    <col min="9986" max="9986" width="4.28515625" style="146" customWidth="1"/>
    <col min="9987" max="9987" width="4.5703125" style="146" customWidth="1"/>
    <col min="9988" max="9989" width="9.140625" style="146"/>
    <col min="9990" max="9990" width="16.42578125" style="146" customWidth="1"/>
    <col min="9991" max="9991" width="12.28515625" style="146" customWidth="1"/>
    <col min="9992" max="9992" width="13.28515625" style="146" customWidth="1"/>
    <col min="9993" max="9993" width="12.5703125" style="146" customWidth="1"/>
    <col min="9994" max="9994" width="11.5703125" style="146" customWidth="1"/>
    <col min="9995" max="9995" width="1.7109375" style="146" customWidth="1"/>
    <col min="9996" max="9997" width="9.140625" style="146"/>
    <col min="9998" max="10000" width="0" style="146" hidden="1" customWidth="1"/>
    <col min="10001" max="10001" width="9.140625" style="146"/>
    <col min="10002" max="10003" width="0" style="146" hidden="1" customWidth="1"/>
    <col min="10004" max="10240" width="9.140625" style="146"/>
    <col min="10241" max="10241" width="2.42578125" style="146" customWidth="1"/>
    <col min="10242" max="10242" width="4.28515625" style="146" customWidth="1"/>
    <col min="10243" max="10243" width="4.5703125" style="146" customWidth="1"/>
    <col min="10244" max="10245" width="9.140625" style="146"/>
    <col min="10246" max="10246" width="16.42578125" style="146" customWidth="1"/>
    <col min="10247" max="10247" width="12.28515625" style="146" customWidth="1"/>
    <col min="10248" max="10248" width="13.28515625" style="146" customWidth="1"/>
    <col min="10249" max="10249" width="12.5703125" style="146" customWidth="1"/>
    <col min="10250" max="10250" width="11.5703125" style="146" customWidth="1"/>
    <col min="10251" max="10251" width="1.7109375" style="146" customWidth="1"/>
    <col min="10252" max="10253" width="9.140625" style="146"/>
    <col min="10254" max="10256" width="0" style="146" hidden="1" customWidth="1"/>
    <col min="10257" max="10257" width="9.140625" style="146"/>
    <col min="10258" max="10259" width="0" style="146" hidden="1" customWidth="1"/>
    <col min="10260" max="10496" width="9.140625" style="146"/>
    <col min="10497" max="10497" width="2.42578125" style="146" customWidth="1"/>
    <col min="10498" max="10498" width="4.28515625" style="146" customWidth="1"/>
    <col min="10499" max="10499" width="4.5703125" style="146" customWidth="1"/>
    <col min="10500" max="10501" width="9.140625" style="146"/>
    <col min="10502" max="10502" width="16.42578125" style="146" customWidth="1"/>
    <col min="10503" max="10503" width="12.28515625" style="146" customWidth="1"/>
    <col min="10504" max="10504" width="13.28515625" style="146" customWidth="1"/>
    <col min="10505" max="10505" width="12.5703125" style="146" customWidth="1"/>
    <col min="10506" max="10506" width="11.5703125" style="146" customWidth="1"/>
    <col min="10507" max="10507" width="1.7109375" style="146" customWidth="1"/>
    <col min="10508" max="10509" width="9.140625" style="146"/>
    <col min="10510" max="10512" width="0" style="146" hidden="1" customWidth="1"/>
    <col min="10513" max="10513" width="9.140625" style="146"/>
    <col min="10514" max="10515" width="0" style="146" hidden="1" customWidth="1"/>
    <col min="10516" max="10752" width="9.140625" style="146"/>
    <col min="10753" max="10753" width="2.42578125" style="146" customWidth="1"/>
    <col min="10754" max="10754" width="4.28515625" style="146" customWidth="1"/>
    <col min="10755" max="10755" width="4.5703125" style="146" customWidth="1"/>
    <col min="10756" max="10757" width="9.140625" style="146"/>
    <col min="10758" max="10758" width="16.42578125" style="146" customWidth="1"/>
    <col min="10759" max="10759" width="12.28515625" style="146" customWidth="1"/>
    <col min="10760" max="10760" width="13.28515625" style="146" customWidth="1"/>
    <col min="10761" max="10761" width="12.5703125" style="146" customWidth="1"/>
    <col min="10762" max="10762" width="11.5703125" style="146" customWidth="1"/>
    <col min="10763" max="10763" width="1.7109375" style="146" customWidth="1"/>
    <col min="10764" max="10765" width="9.140625" style="146"/>
    <col min="10766" max="10768" width="0" style="146" hidden="1" customWidth="1"/>
    <col min="10769" max="10769" width="9.140625" style="146"/>
    <col min="10770" max="10771" width="0" style="146" hidden="1" customWidth="1"/>
    <col min="10772" max="11008" width="9.140625" style="146"/>
    <col min="11009" max="11009" width="2.42578125" style="146" customWidth="1"/>
    <col min="11010" max="11010" width="4.28515625" style="146" customWidth="1"/>
    <col min="11011" max="11011" width="4.5703125" style="146" customWidth="1"/>
    <col min="11012" max="11013" width="9.140625" style="146"/>
    <col min="11014" max="11014" width="16.42578125" style="146" customWidth="1"/>
    <col min="11015" max="11015" width="12.28515625" style="146" customWidth="1"/>
    <col min="11016" max="11016" width="13.28515625" style="146" customWidth="1"/>
    <col min="11017" max="11017" width="12.5703125" style="146" customWidth="1"/>
    <col min="11018" max="11018" width="11.5703125" style="146" customWidth="1"/>
    <col min="11019" max="11019" width="1.7109375" style="146" customWidth="1"/>
    <col min="11020" max="11021" width="9.140625" style="146"/>
    <col min="11022" max="11024" width="0" style="146" hidden="1" customWidth="1"/>
    <col min="11025" max="11025" width="9.140625" style="146"/>
    <col min="11026" max="11027" width="0" style="146" hidden="1" customWidth="1"/>
    <col min="11028" max="11264" width="9.140625" style="146"/>
    <col min="11265" max="11265" width="2.42578125" style="146" customWidth="1"/>
    <col min="11266" max="11266" width="4.28515625" style="146" customWidth="1"/>
    <col min="11267" max="11267" width="4.5703125" style="146" customWidth="1"/>
    <col min="11268" max="11269" width="9.140625" style="146"/>
    <col min="11270" max="11270" width="16.42578125" style="146" customWidth="1"/>
    <col min="11271" max="11271" width="12.28515625" style="146" customWidth="1"/>
    <col min="11272" max="11272" width="13.28515625" style="146" customWidth="1"/>
    <col min="11273" max="11273" width="12.5703125" style="146" customWidth="1"/>
    <col min="11274" max="11274" width="11.5703125" style="146" customWidth="1"/>
    <col min="11275" max="11275" width="1.7109375" style="146" customWidth="1"/>
    <col min="11276" max="11277" width="9.140625" style="146"/>
    <col min="11278" max="11280" width="0" style="146" hidden="1" customWidth="1"/>
    <col min="11281" max="11281" width="9.140625" style="146"/>
    <col min="11282" max="11283" width="0" style="146" hidden="1" customWidth="1"/>
    <col min="11284" max="11520" width="9.140625" style="146"/>
    <col min="11521" max="11521" width="2.42578125" style="146" customWidth="1"/>
    <col min="11522" max="11522" width="4.28515625" style="146" customWidth="1"/>
    <col min="11523" max="11523" width="4.5703125" style="146" customWidth="1"/>
    <col min="11524" max="11525" width="9.140625" style="146"/>
    <col min="11526" max="11526" width="16.42578125" style="146" customWidth="1"/>
    <col min="11527" max="11527" width="12.28515625" style="146" customWidth="1"/>
    <col min="11528" max="11528" width="13.28515625" style="146" customWidth="1"/>
    <col min="11529" max="11529" width="12.5703125" style="146" customWidth="1"/>
    <col min="11530" max="11530" width="11.5703125" style="146" customWidth="1"/>
    <col min="11531" max="11531" width="1.7109375" style="146" customWidth="1"/>
    <col min="11532" max="11533" width="9.140625" style="146"/>
    <col min="11534" max="11536" width="0" style="146" hidden="1" customWidth="1"/>
    <col min="11537" max="11537" width="9.140625" style="146"/>
    <col min="11538" max="11539" width="0" style="146" hidden="1" customWidth="1"/>
    <col min="11540" max="11776" width="9.140625" style="146"/>
    <col min="11777" max="11777" width="2.42578125" style="146" customWidth="1"/>
    <col min="11778" max="11778" width="4.28515625" style="146" customWidth="1"/>
    <col min="11779" max="11779" width="4.5703125" style="146" customWidth="1"/>
    <col min="11780" max="11781" width="9.140625" style="146"/>
    <col min="11782" max="11782" width="16.42578125" style="146" customWidth="1"/>
    <col min="11783" max="11783" width="12.28515625" style="146" customWidth="1"/>
    <col min="11784" max="11784" width="13.28515625" style="146" customWidth="1"/>
    <col min="11785" max="11785" width="12.5703125" style="146" customWidth="1"/>
    <col min="11786" max="11786" width="11.5703125" style="146" customWidth="1"/>
    <col min="11787" max="11787" width="1.7109375" style="146" customWidth="1"/>
    <col min="11788" max="11789" width="9.140625" style="146"/>
    <col min="11790" max="11792" width="0" style="146" hidden="1" customWidth="1"/>
    <col min="11793" max="11793" width="9.140625" style="146"/>
    <col min="11794" max="11795" width="0" style="146" hidden="1" customWidth="1"/>
    <col min="11796" max="12032" width="9.140625" style="146"/>
    <col min="12033" max="12033" width="2.42578125" style="146" customWidth="1"/>
    <col min="12034" max="12034" width="4.28515625" style="146" customWidth="1"/>
    <col min="12035" max="12035" width="4.5703125" style="146" customWidth="1"/>
    <col min="12036" max="12037" width="9.140625" style="146"/>
    <col min="12038" max="12038" width="16.42578125" style="146" customWidth="1"/>
    <col min="12039" max="12039" width="12.28515625" style="146" customWidth="1"/>
    <col min="12040" max="12040" width="13.28515625" style="146" customWidth="1"/>
    <col min="12041" max="12041" width="12.5703125" style="146" customWidth="1"/>
    <col min="12042" max="12042" width="11.5703125" style="146" customWidth="1"/>
    <col min="12043" max="12043" width="1.7109375" style="146" customWidth="1"/>
    <col min="12044" max="12045" width="9.140625" style="146"/>
    <col min="12046" max="12048" width="0" style="146" hidden="1" customWidth="1"/>
    <col min="12049" max="12049" width="9.140625" style="146"/>
    <col min="12050" max="12051" width="0" style="146" hidden="1" customWidth="1"/>
    <col min="12052" max="12288" width="9.140625" style="146"/>
    <col min="12289" max="12289" width="2.42578125" style="146" customWidth="1"/>
    <col min="12290" max="12290" width="4.28515625" style="146" customWidth="1"/>
    <col min="12291" max="12291" width="4.5703125" style="146" customWidth="1"/>
    <col min="12292" max="12293" width="9.140625" style="146"/>
    <col min="12294" max="12294" width="16.42578125" style="146" customWidth="1"/>
    <col min="12295" max="12295" width="12.28515625" style="146" customWidth="1"/>
    <col min="12296" max="12296" width="13.28515625" style="146" customWidth="1"/>
    <col min="12297" max="12297" width="12.5703125" style="146" customWidth="1"/>
    <col min="12298" max="12298" width="11.5703125" style="146" customWidth="1"/>
    <col min="12299" max="12299" width="1.7109375" style="146" customWidth="1"/>
    <col min="12300" max="12301" width="9.140625" style="146"/>
    <col min="12302" max="12304" width="0" style="146" hidden="1" customWidth="1"/>
    <col min="12305" max="12305" width="9.140625" style="146"/>
    <col min="12306" max="12307" width="0" style="146" hidden="1" customWidth="1"/>
    <col min="12308" max="12544" width="9.140625" style="146"/>
    <col min="12545" max="12545" width="2.42578125" style="146" customWidth="1"/>
    <col min="12546" max="12546" width="4.28515625" style="146" customWidth="1"/>
    <col min="12547" max="12547" width="4.5703125" style="146" customWidth="1"/>
    <col min="12548" max="12549" width="9.140625" style="146"/>
    <col min="12550" max="12550" width="16.42578125" style="146" customWidth="1"/>
    <col min="12551" max="12551" width="12.28515625" style="146" customWidth="1"/>
    <col min="12552" max="12552" width="13.28515625" style="146" customWidth="1"/>
    <col min="12553" max="12553" width="12.5703125" style="146" customWidth="1"/>
    <col min="12554" max="12554" width="11.5703125" style="146" customWidth="1"/>
    <col min="12555" max="12555" width="1.7109375" style="146" customWidth="1"/>
    <col min="12556" max="12557" width="9.140625" style="146"/>
    <col min="12558" max="12560" width="0" style="146" hidden="1" customWidth="1"/>
    <col min="12561" max="12561" width="9.140625" style="146"/>
    <col min="12562" max="12563" width="0" style="146" hidden="1" customWidth="1"/>
    <col min="12564" max="12800" width="9.140625" style="146"/>
    <col min="12801" max="12801" width="2.42578125" style="146" customWidth="1"/>
    <col min="12802" max="12802" width="4.28515625" style="146" customWidth="1"/>
    <col min="12803" max="12803" width="4.5703125" style="146" customWidth="1"/>
    <col min="12804" max="12805" width="9.140625" style="146"/>
    <col min="12806" max="12806" width="16.42578125" style="146" customWidth="1"/>
    <col min="12807" max="12807" width="12.28515625" style="146" customWidth="1"/>
    <col min="12808" max="12808" width="13.28515625" style="146" customWidth="1"/>
    <col min="12809" max="12809" width="12.5703125" style="146" customWidth="1"/>
    <col min="12810" max="12810" width="11.5703125" style="146" customWidth="1"/>
    <col min="12811" max="12811" width="1.7109375" style="146" customWidth="1"/>
    <col min="12812" max="12813" width="9.140625" style="146"/>
    <col min="12814" max="12816" width="0" style="146" hidden="1" customWidth="1"/>
    <col min="12817" max="12817" width="9.140625" style="146"/>
    <col min="12818" max="12819" width="0" style="146" hidden="1" customWidth="1"/>
    <col min="12820" max="13056" width="9.140625" style="146"/>
    <col min="13057" max="13057" width="2.42578125" style="146" customWidth="1"/>
    <col min="13058" max="13058" width="4.28515625" style="146" customWidth="1"/>
    <col min="13059" max="13059" width="4.5703125" style="146" customWidth="1"/>
    <col min="13060" max="13061" width="9.140625" style="146"/>
    <col min="13062" max="13062" width="16.42578125" style="146" customWidth="1"/>
    <col min="13063" max="13063" width="12.28515625" style="146" customWidth="1"/>
    <col min="13064" max="13064" width="13.28515625" style="146" customWidth="1"/>
    <col min="13065" max="13065" width="12.5703125" style="146" customWidth="1"/>
    <col min="13066" max="13066" width="11.5703125" style="146" customWidth="1"/>
    <col min="13067" max="13067" width="1.7109375" style="146" customWidth="1"/>
    <col min="13068" max="13069" width="9.140625" style="146"/>
    <col min="13070" max="13072" width="0" style="146" hidden="1" customWidth="1"/>
    <col min="13073" max="13073" width="9.140625" style="146"/>
    <col min="13074" max="13075" width="0" style="146" hidden="1" customWidth="1"/>
    <col min="13076" max="13312" width="9.140625" style="146"/>
    <col min="13313" max="13313" width="2.42578125" style="146" customWidth="1"/>
    <col min="13314" max="13314" width="4.28515625" style="146" customWidth="1"/>
    <col min="13315" max="13315" width="4.5703125" style="146" customWidth="1"/>
    <col min="13316" max="13317" width="9.140625" style="146"/>
    <col min="13318" max="13318" width="16.42578125" style="146" customWidth="1"/>
    <col min="13319" max="13319" width="12.28515625" style="146" customWidth="1"/>
    <col min="13320" max="13320" width="13.28515625" style="146" customWidth="1"/>
    <col min="13321" max="13321" width="12.5703125" style="146" customWidth="1"/>
    <col min="13322" max="13322" width="11.5703125" style="146" customWidth="1"/>
    <col min="13323" max="13323" width="1.7109375" style="146" customWidth="1"/>
    <col min="13324" max="13325" width="9.140625" style="146"/>
    <col min="13326" max="13328" width="0" style="146" hidden="1" customWidth="1"/>
    <col min="13329" max="13329" width="9.140625" style="146"/>
    <col min="13330" max="13331" width="0" style="146" hidden="1" customWidth="1"/>
    <col min="13332" max="13568" width="9.140625" style="146"/>
    <col min="13569" max="13569" width="2.42578125" style="146" customWidth="1"/>
    <col min="13570" max="13570" width="4.28515625" style="146" customWidth="1"/>
    <col min="13571" max="13571" width="4.5703125" style="146" customWidth="1"/>
    <col min="13572" max="13573" width="9.140625" style="146"/>
    <col min="13574" max="13574" width="16.42578125" style="146" customWidth="1"/>
    <col min="13575" max="13575" width="12.28515625" style="146" customWidth="1"/>
    <col min="13576" max="13576" width="13.28515625" style="146" customWidth="1"/>
    <col min="13577" max="13577" width="12.5703125" style="146" customWidth="1"/>
    <col min="13578" max="13578" width="11.5703125" style="146" customWidth="1"/>
    <col min="13579" max="13579" width="1.7109375" style="146" customWidth="1"/>
    <col min="13580" max="13581" width="9.140625" style="146"/>
    <col min="13582" max="13584" width="0" style="146" hidden="1" customWidth="1"/>
    <col min="13585" max="13585" width="9.140625" style="146"/>
    <col min="13586" max="13587" width="0" style="146" hidden="1" customWidth="1"/>
    <col min="13588" max="13824" width="9.140625" style="146"/>
    <col min="13825" max="13825" width="2.42578125" style="146" customWidth="1"/>
    <col min="13826" max="13826" width="4.28515625" style="146" customWidth="1"/>
    <col min="13827" max="13827" width="4.5703125" style="146" customWidth="1"/>
    <col min="13828" max="13829" width="9.140625" style="146"/>
    <col min="13830" max="13830" width="16.42578125" style="146" customWidth="1"/>
    <col min="13831" max="13831" width="12.28515625" style="146" customWidth="1"/>
    <col min="13832" max="13832" width="13.28515625" style="146" customWidth="1"/>
    <col min="13833" max="13833" width="12.5703125" style="146" customWidth="1"/>
    <col min="13834" max="13834" width="11.5703125" style="146" customWidth="1"/>
    <col min="13835" max="13835" width="1.7109375" style="146" customWidth="1"/>
    <col min="13836" max="13837" width="9.140625" style="146"/>
    <col min="13838" max="13840" width="0" style="146" hidden="1" customWidth="1"/>
    <col min="13841" max="13841" width="9.140625" style="146"/>
    <col min="13842" max="13843" width="0" style="146" hidden="1" customWidth="1"/>
    <col min="13844" max="14080" width="9.140625" style="146"/>
    <col min="14081" max="14081" width="2.42578125" style="146" customWidth="1"/>
    <col min="14082" max="14082" width="4.28515625" style="146" customWidth="1"/>
    <col min="14083" max="14083" width="4.5703125" style="146" customWidth="1"/>
    <col min="14084" max="14085" width="9.140625" style="146"/>
    <col min="14086" max="14086" width="16.42578125" style="146" customWidth="1"/>
    <col min="14087" max="14087" width="12.28515625" style="146" customWidth="1"/>
    <col min="14088" max="14088" width="13.28515625" style="146" customWidth="1"/>
    <col min="14089" max="14089" width="12.5703125" style="146" customWidth="1"/>
    <col min="14090" max="14090" width="11.5703125" style="146" customWidth="1"/>
    <col min="14091" max="14091" width="1.7109375" style="146" customWidth="1"/>
    <col min="14092" max="14093" width="9.140625" style="146"/>
    <col min="14094" max="14096" width="0" style="146" hidden="1" customWidth="1"/>
    <col min="14097" max="14097" width="9.140625" style="146"/>
    <col min="14098" max="14099" width="0" style="146" hidden="1" customWidth="1"/>
    <col min="14100" max="14336" width="9.140625" style="146"/>
    <col min="14337" max="14337" width="2.42578125" style="146" customWidth="1"/>
    <col min="14338" max="14338" width="4.28515625" style="146" customWidth="1"/>
    <col min="14339" max="14339" width="4.5703125" style="146" customWidth="1"/>
    <col min="14340" max="14341" width="9.140625" style="146"/>
    <col min="14342" max="14342" width="16.42578125" style="146" customWidth="1"/>
    <col min="14343" max="14343" width="12.28515625" style="146" customWidth="1"/>
    <col min="14344" max="14344" width="13.28515625" style="146" customWidth="1"/>
    <col min="14345" max="14345" width="12.5703125" style="146" customWidth="1"/>
    <col min="14346" max="14346" width="11.5703125" style="146" customWidth="1"/>
    <col min="14347" max="14347" width="1.7109375" style="146" customWidth="1"/>
    <col min="14348" max="14349" width="9.140625" style="146"/>
    <col min="14350" max="14352" width="0" style="146" hidden="1" customWidth="1"/>
    <col min="14353" max="14353" width="9.140625" style="146"/>
    <col min="14354" max="14355" width="0" style="146" hidden="1" customWidth="1"/>
    <col min="14356" max="14592" width="9.140625" style="146"/>
    <col min="14593" max="14593" width="2.42578125" style="146" customWidth="1"/>
    <col min="14594" max="14594" width="4.28515625" style="146" customWidth="1"/>
    <col min="14595" max="14595" width="4.5703125" style="146" customWidth="1"/>
    <col min="14596" max="14597" width="9.140625" style="146"/>
    <col min="14598" max="14598" width="16.42578125" style="146" customWidth="1"/>
    <col min="14599" max="14599" width="12.28515625" style="146" customWidth="1"/>
    <col min="14600" max="14600" width="13.28515625" style="146" customWidth="1"/>
    <col min="14601" max="14601" width="12.5703125" style="146" customWidth="1"/>
    <col min="14602" max="14602" width="11.5703125" style="146" customWidth="1"/>
    <col min="14603" max="14603" width="1.7109375" style="146" customWidth="1"/>
    <col min="14604" max="14605" width="9.140625" style="146"/>
    <col min="14606" max="14608" width="0" style="146" hidden="1" customWidth="1"/>
    <col min="14609" max="14609" width="9.140625" style="146"/>
    <col min="14610" max="14611" width="0" style="146" hidden="1" customWidth="1"/>
    <col min="14612" max="14848" width="9.140625" style="146"/>
    <col min="14849" max="14849" width="2.42578125" style="146" customWidth="1"/>
    <col min="14850" max="14850" width="4.28515625" style="146" customWidth="1"/>
    <col min="14851" max="14851" width="4.5703125" style="146" customWidth="1"/>
    <col min="14852" max="14853" width="9.140625" style="146"/>
    <col min="14854" max="14854" width="16.42578125" style="146" customWidth="1"/>
    <col min="14855" max="14855" width="12.28515625" style="146" customWidth="1"/>
    <col min="14856" max="14856" width="13.28515625" style="146" customWidth="1"/>
    <col min="14857" max="14857" width="12.5703125" style="146" customWidth="1"/>
    <col min="14858" max="14858" width="11.5703125" style="146" customWidth="1"/>
    <col min="14859" max="14859" width="1.7109375" style="146" customWidth="1"/>
    <col min="14860" max="14861" width="9.140625" style="146"/>
    <col min="14862" max="14864" width="0" style="146" hidden="1" customWidth="1"/>
    <col min="14865" max="14865" width="9.140625" style="146"/>
    <col min="14866" max="14867" width="0" style="146" hidden="1" customWidth="1"/>
    <col min="14868" max="15104" width="9.140625" style="146"/>
    <col min="15105" max="15105" width="2.42578125" style="146" customWidth="1"/>
    <col min="15106" max="15106" width="4.28515625" style="146" customWidth="1"/>
    <col min="15107" max="15107" width="4.5703125" style="146" customWidth="1"/>
    <col min="15108" max="15109" width="9.140625" style="146"/>
    <col min="15110" max="15110" width="16.42578125" style="146" customWidth="1"/>
    <col min="15111" max="15111" width="12.28515625" style="146" customWidth="1"/>
    <col min="15112" max="15112" width="13.28515625" style="146" customWidth="1"/>
    <col min="15113" max="15113" width="12.5703125" style="146" customWidth="1"/>
    <col min="15114" max="15114" width="11.5703125" style="146" customWidth="1"/>
    <col min="15115" max="15115" width="1.7109375" style="146" customWidth="1"/>
    <col min="15116" max="15117" width="9.140625" style="146"/>
    <col min="15118" max="15120" width="0" style="146" hidden="1" customWidth="1"/>
    <col min="15121" max="15121" width="9.140625" style="146"/>
    <col min="15122" max="15123" width="0" style="146" hidden="1" customWidth="1"/>
    <col min="15124" max="15360" width="9.140625" style="146"/>
    <col min="15361" max="15361" width="2.42578125" style="146" customWidth="1"/>
    <col min="15362" max="15362" width="4.28515625" style="146" customWidth="1"/>
    <col min="15363" max="15363" width="4.5703125" style="146" customWidth="1"/>
    <col min="15364" max="15365" width="9.140625" style="146"/>
    <col min="15366" max="15366" width="16.42578125" style="146" customWidth="1"/>
    <col min="15367" max="15367" width="12.28515625" style="146" customWidth="1"/>
    <col min="15368" max="15368" width="13.28515625" style="146" customWidth="1"/>
    <col min="15369" max="15369" width="12.5703125" style="146" customWidth="1"/>
    <col min="15370" max="15370" width="11.5703125" style="146" customWidth="1"/>
    <col min="15371" max="15371" width="1.7109375" style="146" customWidth="1"/>
    <col min="15372" max="15373" width="9.140625" style="146"/>
    <col min="15374" max="15376" width="0" style="146" hidden="1" customWidth="1"/>
    <col min="15377" max="15377" width="9.140625" style="146"/>
    <col min="15378" max="15379" width="0" style="146" hidden="1" customWidth="1"/>
    <col min="15380" max="15616" width="9.140625" style="146"/>
    <col min="15617" max="15617" width="2.42578125" style="146" customWidth="1"/>
    <col min="15618" max="15618" width="4.28515625" style="146" customWidth="1"/>
    <col min="15619" max="15619" width="4.5703125" style="146" customWidth="1"/>
    <col min="15620" max="15621" width="9.140625" style="146"/>
    <col min="15622" max="15622" width="16.42578125" style="146" customWidth="1"/>
    <col min="15623" max="15623" width="12.28515625" style="146" customWidth="1"/>
    <col min="15624" max="15624" width="13.28515625" style="146" customWidth="1"/>
    <col min="15625" max="15625" width="12.5703125" style="146" customWidth="1"/>
    <col min="15626" max="15626" width="11.5703125" style="146" customWidth="1"/>
    <col min="15627" max="15627" width="1.7109375" style="146" customWidth="1"/>
    <col min="15628" max="15629" width="9.140625" style="146"/>
    <col min="15630" max="15632" width="0" style="146" hidden="1" customWidth="1"/>
    <col min="15633" max="15633" width="9.140625" style="146"/>
    <col min="15634" max="15635" width="0" style="146" hidden="1" customWidth="1"/>
    <col min="15636" max="15872" width="9.140625" style="146"/>
    <col min="15873" max="15873" width="2.42578125" style="146" customWidth="1"/>
    <col min="15874" max="15874" width="4.28515625" style="146" customWidth="1"/>
    <col min="15875" max="15875" width="4.5703125" style="146" customWidth="1"/>
    <col min="15876" max="15877" width="9.140625" style="146"/>
    <col min="15878" max="15878" width="16.42578125" style="146" customWidth="1"/>
    <col min="15879" max="15879" width="12.28515625" style="146" customWidth="1"/>
    <col min="15880" max="15880" width="13.28515625" style="146" customWidth="1"/>
    <col min="15881" max="15881" width="12.5703125" style="146" customWidth="1"/>
    <col min="15882" max="15882" width="11.5703125" style="146" customWidth="1"/>
    <col min="15883" max="15883" width="1.7109375" style="146" customWidth="1"/>
    <col min="15884" max="15885" width="9.140625" style="146"/>
    <col min="15886" max="15888" width="0" style="146" hidden="1" customWidth="1"/>
    <col min="15889" max="15889" width="9.140625" style="146"/>
    <col min="15890" max="15891" width="0" style="146" hidden="1" customWidth="1"/>
    <col min="15892" max="16128" width="9.140625" style="146"/>
    <col min="16129" max="16129" width="2.42578125" style="146" customWidth="1"/>
    <col min="16130" max="16130" width="4.28515625" style="146" customWidth="1"/>
    <col min="16131" max="16131" width="4.5703125" style="146" customWidth="1"/>
    <col min="16132" max="16133" width="9.140625" style="146"/>
    <col min="16134" max="16134" width="16.42578125" style="146" customWidth="1"/>
    <col min="16135" max="16135" width="12.28515625" style="146" customWidth="1"/>
    <col min="16136" max="16136" width="13.28515625" style="146" customWidth="1"/>
    <col min="16137" max="16137" width="12.5703125" style="146" customWidth="1"/>
    <col min="16138" max="16138" width="11.5703125" style="146" customWidth="1"/>
    <col min="16139" max="16139" width="1.7109375" style="146" customWidth="1"/>
    <col min="16140" max="16141" width="9.140625" style="146"/>
    <col min="16142" max="16144" width="0" style="146" hidden="1" customWidth="1"/>
    <col min="16145" max="16145" width="9.140625" style="146"/>
    <col min="16146" max="16147" width="0" style="146" hidden="1" customWidth="1"/>
    <col min="16148" max="16384" width="9.140625" style="146"/>
  </cols>
  <sheetData>
    <row r="1" spans="1:21" ht="26.25">
      <c r="A1" s="213" t="s">
        <v>319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21" ht="14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21" ht="23.25">
      <c r="B3" s="149" t="s">
        <v>320</v>
      </c>
      <c r="C3" s="149"/>
      <c r="D3" s="149"/>
      <c r="E3" s="149"/>
      <c r="F3" s="149"/>
      <c r="G3" s="149"/>
      <c r="H3" s="149"/>
      <c r="J3" s="150">
        <f>SUM(J4:J7)</f>
        <v>2741.5999999999995</v>
      </c>
      <c r="K3" s="150"/>
      <c r="L3" s="149" t="s">
        <v>90</v>
      </c>
    </row>
    <row r="4" spans="1:21">
      <c r="C4" s="146" t="s">
        <v>91</v>
      </c>
      <c r="J4" s="151">
        <v>2.4700000000000002</v>
      </c>
      <c r="K4" s="151"/>
      <c r="L4" s="146" t="s">
        <v>90</v>
      </c>
      <c r="N4" s="147">
        <f>15000+2549028</f>
        <v>2564028</v>
      </c>
    </row>
    <row r="5" spans="1:21">
      <c r="C5" s="146" t="s">
        <v>92</v>
      </c>
      <c r="J5" s="151">
        <v>2559.2199999999998</v>
      </c>
      <c r="K5" s="151"/>
      <c r="L5" s="146" t="s">
        <v>90</v>
      </c>
      <c r="N5" s="147">
        <f>1895283480.97+1767598.85+307808.09</f>
        <v>1897358887.9099998</v>
      </c>
      <c r="S5" s="147"/>
      <c r="T5" s="153">
        <f>+J5+J4</f>
        <v>2561.6899999999996</v>
      </c>
    </row>
    <row r="6" spans="1:21">
      <c r="C6" s="146" t="s">
        <v>93</v>
      </c>
      <c r="J6" s="151">
        <v>174.42</v>
      </c>
      <c r="K6" s="151"/>
      <c r="L6" s="146" t="s">
        <v>90</v>
      </c>
      <c r="N6" s="147">
        <f>159.68-1.53</f>
        <v>158.15</v>
      </c>
    </row>
    <row r="7" spans="1:21">
      <c r="C7" s="146" t="s">
        <v>94</v>
      </c>
      <c r="J7" s="151">
        <v>5.49</v>
      </c>
      <c r="K7" s="151"/>
      <c r="L7" s="146" t="s">
        <v>90</v>
      </c>
      <c r="N7" s="147" t="s">
        <v>95</v>
      </c>
      <c r="P7" s="152">
        <f>SUM(J6:J7)</f>
        <v>179.91</v>
      </c>
      <c r="Q7" s="153"/>
      <c r="S7" s="173">
        <f>+J4+J6+J7</f>
        <v>182.38</v>
      </c>
      <c r="U7" s="173"/>
    </row>
    <row r="8" spans="1:21">
      <c r="F8" s="154"/>
      <c r="J8" s="151"/>
      <c r="K8" s="151"/>
      <c r="U8" s="204"/>
    </row>
    <row r="9" spans="1:21" s="149" customFormat="1" ht="23.25">
      <c r="B9" s="149" t="s">
        <v>96</v>
      </c>
      <c r="J9" s="150">
        <f>+J10+J13</f>
        <v>2741.5999999999995</v>
      </c>
      <c r="K9" s="150"/>
      <c r="L9" s="149" t="s">
        <v>90</v>
      </c>
      <c r="N9" s="155"/>
    </row>
    <row r="10" spans="1:21">
      <c r="C10" s="156" t="s">
        <v>97</v>
      </c>
      <c r="D10" s="156"/>
      <c r="E10" s="156"/>
      <c r="F10" s="156"/>
      <c r="G10" s="156"/>
      <c r="H10" s="156"/>
      <c r="J10" s="157">
        <f>SUM(J11:J12)</f>
        <v>2797.2199999999993</v>
      </c>
      <c r="K10" s="157"/>
      <c r="L10" s="156" t="s">
        <v>90</v>
      </c>
      <c r="T10" s="153">
        <f>+J11-T5</f>
        <v>53.639999999999873</v>
      </c>
    </row>
    <row r="11" spans="1:21">
      <c r="D11" s="146" t="s">
        <v>98</v>
      </c>
      <c r="J11" s="151">
        <f>+I29</f>
        <v>2615.3299999999995</v>
      </c>
      <c r="K11" s="151"/>
      <c r="L11" s="146" t="s">
        <v>90</v>
      </c>
    </row>
    <row r="12" spans="1:21">
      <c r="D12" s="146" t="s">
        <v>99</v>
      </c>
      <c r="J12" s="151">
        <f>+I40</f>
        <v>181.89</v>
      </c>
      <c r="K12" s="151"/>
      <c r="L12" s="146" t="s">
        <v>90</v>
      </c>
      <c r="N12" s="147">
        <f>79.47+71.91+5.93-2.01</f>
        <v>155.30000000000001</v>
      </c>
      <c r="S12" s="173">
        <f>+J12+J15</f>
        <v>182.34</v>
      </c>
      <c r="T12" s="153">
        <f>+J6+J7</f>
        <v>179.91</v>
      </c>
    </row>
    <row r="13" spans="1:21" s="158" customFormat="1" ht="23.25">
      <c r="C13" s="156" t="s">
        <v>100</v>
      </c>
      <c r="D13" s="156"/>
      <c r="E13" s="156"/>
      <c r="F13" s="156"/>
      <c r="G13" s="156"/>
      <c r="H13" s="156"/>
      <c r="J13" s="157">
        <f>SUM(J14:J15)</f>
        <v>-55.619999999999663</v>
      </c>
      <c r="K13" s="157"/>
      <c r="L13" s="156" t="s">
        <v>90</v>
      </c>
      <c r="N13" s="159">
        <f>+J14+J11</f>
        <v>2559.2599999999998</v>
      </c>
    </row>
    <row r="14" spans="1:21">
      <c r="D14" s="146" t="s">
        <v>98</v>
      </c>
      <c r="J14" s="151">
        <f>+J5-I29+0.04</f>
        <v>-56.069999999999673</v>
      </c>
      <c r="K14" s="151"/>
      <c r="L14" s="146" t="s">
        <v>90</v>
      </c>
      <c r="N14" s="147">
        <f>+J15+J12</f>
        <v>182.34</v>
      </c>
    </row>
    <row r="15" spans="1:21">
      <c r="D15" s="146" t="s">
        <v>99</v>
      </c>
      <c r="J15" s="204">
        <f>+J4+J6+J7-J12-0.04</f>
        <v>0.45000000000000911</v>
      </c>
      <c r="K15" s="151"/>
      <c r="L15" s="146" t="s">
        <v>90</v>
      </c>
      <c r="U15" s="153"/>
    </row>
    <row r="16" spans="1:21">
      <c r="I16" s="151"/>
    </row>
    <row r="17" spans="2:21">
      <c r="B17" s="160" t="s">
        <v>49</v>
      </c>
      <c r="I17" s="151"/>
    </row>
    <row r="18" spans="2:21">
      <c r="C18" s="156" t="s">
        <v>321</v>
      </c>
      <c r="J18" s="157">
        <f>+J3</f>
        <v>2741.5999999999995</v>
      </c>
      <c r="L18" s="156" t="s">
        <v>90</v>
      </c>
    </row>
    <row r="19" spans="2:21">
      <c r="C19" s="161" t="s">
        <v>102</v>
      </c>
      <c r="D19" s="146" t="s">
        <v>103</v>
      </c>
      <c r="I19" s="157"/>
    </row>
    <row r="20" spans="2:21">
      <c r="D20" s="156" t="s">
        <v>104</v>
      </c>
      <c r="I20" s="157"/>
    </row>
    <row r="21" spans="2:21">
      <c r="D21" s="156" t="s">
        <v>112</v>
      </c>
      <c r="G21" s="151"/>
      <c r="H21" s="153"/>
      <c r="I21" s="157"/>
    </row>
    <row r="22" spans="2:21" hidden="1">
      <c r="D22" s="146" t="s">
        <v>106</v>
      </c>
      <c r="G22" s="147">
        <v>0</v>
      </c>
      <c r="H22" s="153"/>
      <c r="I22" s="157"/>
    </row>
    <row r="23" spans="2:21">
      <c r="D23" s="146" t="s">
        <v>107</v>
      </c>
      <c r="G23" s="147">
        <v>12</v>
      </c>
      <c r="H23" s="153"/>
      <c r="I23" s="157"/>
    </row>
    <row r="24" spans="2:21" hidden="1">
      <c r="D24" s="146" t="s">
        <v>109</v>
      </c>
      <c r="G24" s="162">
        <v>0</v>
      </c>
      <c r="H24" s="151"/>
      <c r="I24" s="157"/>
    </row>
    <row r="25" spans="2:21">
      <c r="D25" s="146" t="s">
        <v>110</v>
      </c>
      <c r="G25" s="162">
        <v>0.16</v>
      </c>
      <c r="H25" s="151"/>
      <c r="I25" s="157"/>
    </row>
    <row r="26" spans="2:21">
      <c r="D26" s="146" t="s">
        <v>111</v>
      </c>
      <c r="G26" s="163">
        <v>0.31</v>
      </c>
      <c r="H26" s="147">
        <f>SUM(G22:G26)</f>
        <v>12.47</v>
      </c>
      <c r="I26" s="157"/>
    </row>
    <row r="27" spans="2:21">
      <c r="D27" s="156" t="s">
        <v>211</v>
      </c>
      <c r="G27" s="164">
        <f>2627.97-1.03-9.97-21.76-0.25</f>
        <v>2594.9599999999996</v>
      </c>
      <c r="H27" s="147"/>
      <c r="I27" s="157"/>
    </row>
    <row r="28" spans="2:21" hidden="1">
      <c r="D28" s="146" t="s">
        <v>192</v>
      </c>
      <c r="G28" s="164"/>
      <c r="H28" s="147"/>
      <c r="I28" s="157"/>
    </row>
    <row r="29" spans="2:21">
      <c r="D29" s="146" t="s">
        <v>189</v>
      </c>
      <c r="G29" s="163">
        <f>9.93-0.8-1.23</f>
        <v>7.8999999999999986</v>
      </c>
      <c r="H29" s="165">
        <f>SUM(G27:G29)</f>
        <v>2602.8599999999997</v>
      </c>
      <c r="I29" s="157">
        <f>+H26+H29</f>
        <v>2615.3299999999995</v>
      </c>
      <c r="U29" s="152">
        <f>+G29-9.09</f>
        <v>-1.1900000000000013</v>
      </c>
    </row>
    <row r="30" spans="2:21" ht="21.75" customHeight="1">
      <c r="D30" s="156" t="s">
        <v>114</v>
      </c>
      <c r="G30" s="162"/>
      <c r="H30" s="166"/>
      <c r="I30" s="157"/>
    </row>
    <row r="31" spans="2:21" ht="21.75" customHeight="1">
      <c r="D31" s="156" t="s">
        <v>112</v>
      </c>
      <c r="G31" s="162"/>
      <c r="H31" s="166"/>
      <c r="I31" s="157"/>
    </row>
    <row r="32" spans="2:21">
      <c r="D32" s="146" t="s">
        <v>106</v>
      </c>
      <c r="G32" s="162">
        <f>4.07+3.97-8.04</f>
        <v>0</v>
      </c>
      <c r="H32" s="147"/>
      <c r="I32" s="157"/>
    </row>
    <row r="33" spans="3:14">
      <c r="D33" s="146" t="s">
        <v>115</v>
      </c>
      <c r="G33" s="162">
        <f>1.02-1-0.02</f>
        <v>0</v>
      </c>
      <c r="H33" s="147"/>
      <c r="I33" s="157"/>
    </row>
    <row r="34" spans="3:14">
      <c r="D34" s="146" t="s">
        <v>116</v>
      </c>
      <c r="G34" s="162">
        <f>2.15-0.03-0.02</f>
        <v>2.1</v>
      </c>
      <c r="H34" s="147"/>
      <c r="I34" s="157"/>
    </row>
    <row r="35" spans="3:14">
      <c r="D35" s="146" t="s">
        <v>110</v>
      </c>
      <c r="G35" s="163">
        <f>3.89-0.07-0.01-0.02</f>
        <v>3.7900000000000005</v>
      </c>
      <c r="H35" s="167">
        <f>SUM(G32:G35)</f>
        <v>5.8900000000000006</v>
      </c>
      <c r="I35" s="168"/>
      <c r="L35" s="156"/>
      <c r="N35" s="147">
        <f>1.36+0.11</f>
        <v>1.4700000000000002</v>
      </c>
    </row>
    <row r="36" spans="3:14">
      <c r="D36" s="156" t="s">
        <v>211</v>
      </c>
      <c r="G36" s="169"/>
      <c r="H36" s="167"/>
      <c r="I36" s="168"/>
      <c r="L36" s="156"/>
    </row>
    <row r="37" spans="3:14">
      <c r="D37" s="146" t="s">
        <v>106</v>
      </c>
      <c r="G37" s="164">
        <f>3.21-3.21+4.36-1.8-2.56+6.03+21.76-6.46</f>
        <v>21.330000000000002</v>
      </c>
      <c r="H37" s="167"/>
      <c r="I37" s="168"/>
      <c r="L37" s="156"/>
    </row>
    <row r="38" spans="3:14">
      <c r="D38" s="146" t="s">
        <v>115</v>
      </c>
      <c r="G38" s="164">
        <f>446.03+1-7.6-136.34+9.97-166.25</f>
        <v>146.80999999999995</v>
      </c>
      <c r="H38" s="167"/>
      <c r="I38" s="168"/>
      <c r="L38" s="156"/>
    </row>
    <row r="39" spans="3:14">
      <c r="D39" s="146" t="s">
        <v>116</v>
      </c>
      <c r="G39" s="164">
        <f>10.4+0.03-3.05+0.8+0.25-0.83-2.68+1.23</f>
        <v>6.15</v>
      </c>
      <c r="H39" s="167"/>
      <c r="I39" s="168"/>
      <c r="L39" s="156"/>
    </row>
    <row r="40" spans="3:14">
      <c r="D40" s="146" t="s">
        <v>110</v>
      </c>
      <c r="G40" s="163">
        <f>1.39+0.18+0.14</f>
        <v>1.71</v>
      </c>
      <c r="H40" s="165">
        <f>SUM(G37:G40)</f>
        <v>175.99999999999997</v>
      </c>
      <c r="I40" s="168">
        <f>SUM(H32:H40)</f>
        <v>181.89</v>
      </c>
      <c r="J40" s="170">
        <f>+I29+I40</f>
        <v>2797.2199999999993</v>
      </c>
      <c r="L40" s="156"/>
    </row>
    <row r="41" spans="3:14" ht="21.75" thickBot="1">
      <c r="C41" s="156" t="s">
        <v>322</v>
      </c>
      <c r="I41" s="171"/>
      <c r="J41" s="172">
        <f>+J18-J40</f>
        <v>-55.619999999999891</v>
      </c>
      <c r="K41" s="168"/>
      <c r="L41" s="156" t="s">
        <v>90</v>
      </c>
    </row>
    <row r="42" spans="3:14" ht="21.75" thickTop="1"/>
    <row r="43" spans="3:14">
      <c r="C43" s="156"/>
      <c r="H43" s="173"/>
    </row>
    <row r="45" spans="3:14" hidden="1">
      <c r="G45" s="152">
        <f>+G35+G40</f>
        <v>5.5</v>
      </c>
    </row>
    <row r="46" spans="3:14" hidden="1">
      <c r="G46" s="152">
        <f>+J7-G45</f>
        <v>-9.9999999999997868E-3</v>
      </c>
    </row>
  </sheetData>
  <mergeCells count="1">
    <mergeCell ref="A1:L1"/>
  </mergeCells>
  <printOptions horizontalCentered="1"/>
  <pageMargins left="0.39370078740157483" right="0" top="0.59055118110236227" bottom="0.39370078740157483" header="0.51181102362204722" footer="0.11811023622047245"/>
  <pageSetup paperSize="9" scale="90" orientation="portrait" r:id="rId1"/>
  <headerFooter alignWithMargins="0">
    <oddFooter>&amp;Rกงบ. สบท. 10 ส.ค. 2558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44</vt:i4>
      </vt:variant>
      <vt:variant>
        <vt:lpstr>ช่วงที่มีชื่อ</vt:lpstr>
      </vt:variant>
      <vt:variant>
        <vt:i4>22</vt:i4>
      </vt:variant>
    </vt:vector>
  </HeadingPairs>
  <TitlesOfParts>
    <vt:vector size="66" baseType="lpstr">
      <vt:lpstr>31 ต.ค.58(งบเดือน)</vt:lpstr>
      <vt:lpstr>ฐานะฯ31ต.ค.58(งบเดือน)</vt:lpstr>
      <vt:lpstr>30 ก.ย.58(งบเดือน)(ปป.)</vt:lpstr>
      <vt:lpstr>ฐานะฯ30 ก.ย.58(งบเดือน)(ปป.)</vt:lpstr>
      <vt:lpstr>30 ก.ย.58(งบเดือน)</vt:lpstr>
      <vt:lpstr>ฐานะฯ30 ก.ย.58(งบเดือน)</vt:lpstr>
      <vt:lpstr>31ส.ค.58(งบเดือน)</vt:lpstr>
      <vt:lpstr>ฐานะฯ31ส.ค.58(งบเดือน)</vt:lpstr>
      <vt:lpstr>31ก.ค.58(งบเดือน) (2)</vt:lpstr>
      <vt:lpstr>ฐานะฯ31ก.ค.58(งบเดือน)</vt:lpstr>
      <vt:lpstr>30 มิ.ย58(งบเดือน)</vt:lpstr>
      <vt:lpstr>ฐานะฯ30 มิย58(งบเดือน)</vt:lpstr>
      <vt:lpstr>31พค58(งบเดือน)</vt:lpstr>
      <vt:lpstr>ฐานะฯ31พค58(งบเดือน)</vt:lpstr>
      <vt:lpstr>30เมย58(งบเดือน)</vt:lpstr>
      <vt:lpstr>ฐานะฯ30เมษ58(งบเดือน)</vt:lpstr>
      <vt:lpstr>31มี.ค.58(งบเดือน) </vt:lpstr>
      <vt:lpstr>ฐานะฯ31 มีค.58(งบเดือน) </vt:lpstr>
      <vt:lpstr>28ก.พ.58(งบเดือน)</vt:lpstr>
      <vt:lpstr>ฐานะฯ28 ก.พ.58(งบเดือน)</vt:lpstr>
      <vt:lpstr>31ม.ค.58(งบเดือน)</vt:lpstr>
      <vt:lpstr>ฐานะฯ31ม.ค.58(งบเดือน)</vt:lpstr>
      <vt:lpstr>31ธ.ค.57(งบเดือน)</vt:lpstr>
      <vt:lpstr>ฐานะฯ31ธ.ค.57(งบเดือน)</vt:lpstr>
      <vt:lpstr>30พ.ย.57(งบเดือน)</vt:lpstr>
      <vt:lpstr>ฐานะฯ30พ.ย.57(งบเดือน)</vt:lpstr>
      <vt:lpstr>31ต.ค.57(งบเดือน)</vt:lpstr>
      <vt:lpstr>ฐานะฯ31ต.ค.57(งบเดือน)</vt:lpstr>
      <vt:lpstr>30ก.ย.57(งบเดือนปป.)</vt:lpstr>
      <vt:lpstr>ฐานะฯ30ก.ย.57(งบเดือนปป.)</vt:lpstr>
      <vt:lpstr>30ก.ย.57(งบเดือน)</vt:lpstr>
      <vt:lpstr>ฐานะฯ30ก.ย.57(งบเดือน)</vt:lpstr>
      <vt:lpstr>31สิงหาคม57(งบเดือน)</vt:lpstr>
      <vt:lpstr>ฐานะฯ31ส.ค.57(งบเดือน)</vt:lpstr>
      <vt:lpstr>31กรกฎาคม57(งบเดือน)</vt:lpstr>
      <vt:lpstr>ฐานะฯ31ก.ค.57(งบเดือน)</vt:lpstr>
      <vt:lpstr>30มิถุนายน57เงินคงเหลือ</vt:lpstr>
      <vt:lpstr>ฐานะฯ30มิย.57(งบเดือน)</vt:lpstr>
      <vt:lpstr>ฐานะฯ31พ.ค.57(งบเดือน)</vt:lpstr>
      <vt:lpstr>31 พฤษภาคม57เงินคงเหลือ</vt:lpstr>
      <vt:lpstr>ฐานะฯ30เมษ.57(งบเดือน)</vt:lpstr>
      <vt:lpstr>30เมษายน57เงินคงเหลือ</vt:lpstr>
      <vt:lpstr>31มีนาคม57เงินคงเหลือ</vt:lpstr>
      <vt:lpstr>ฐานะฯ31 มี.ค.57(งบเดือน)</vt:lpstr>
      <vt:lpstr>'ฐานะฯ28 ก.พ.58(งบเดือน)'!Print_Area</vt:lpstr>
      <vt:lpstr>'ฐานะฯ30 ก.ย.58(งบเดือน)'!Print_Area</vt:lpstr>
      <vt:lpstr>'ฐานะฯ30 ก.ย.58(งบเดือน)(ปป.)'!Print_Area</vt:lpstr>
      <vt:lpstr>'ฐานะฯ30 มิย58(งบเดือน)'!Print_Area</vt:lpstr>
      <vt:lpstr>'ฐานะฯ30ก.ย.57(งบเดือน)'!Print_Area</vt:lpstr>
      <vt:lpstr>'ฐานะฯ30ก.ย.57(งบเดือนปป.)'!Print_Area</vt:lpstr>
      <vt:lpstr>'ฐานะฯ30พ.ย.57(งบเดือน)'!Print_Area</vt:lpstr>
      <vt:lpstr>'ฐานะฯ30มิย.57(งบเดือน)'!Print_Area</vt:lpstr>
      <vt:lpstr>'ฐานะฯ30เมษ.57(งบเดือน)'!Print_Area</vt:lpstr>
      <vt:lpstr>'ฐานะฯ30เมษ58(งบเดือน)'!Print_Area</vt:lpstr>
      <vt:lpstr>'ฐานะฯ31 มี.ค.57(งบเดือน)'!Print_Area</vt:lpstr>
      <vt:lpstr>'ฐานะฯ31 มีค.58(งบเดือน) '!Print_Area</vt:lpstr>
      <vt:lpstr>'ฐานะฯ31ก.ค.57(งบเดือน)'!Print_Area</vt:lpstr>
      <vt:lpstr>'ฐานะฯ31ก.ค.58(งบเดือน)'!Print_Area</vt:lpstr>
      <vt:lpstr>'ฐานะฯ31ต.ค.57(งบเดือน)'!Print_Area</vt:lpstr>
      <vt:lpstr>'ฐานะฯ31ต.ค.58(งบเดือน)'!Print_Area</vt:lpstr>
      <vt:lpstr>'ฐานะฯ31ธ.ค.57(งบเดือน)'!Print_Area</vt:lpstr>
      <vt:lpstr>'ฐานะฯ31พ.ค.57(งบเดือน)'!Print_Area</vt:lpstr>
      <vt:lpstr>'ฐานะฯ31พค58(งบเดือน)'!Print_Area</vt:lpstr>
      <vt:lpstr>'ฐานะฯ31ม.ค.58(งบเดือน)'!Print_Area</vt:lpstr>
      <vt:lpstr>'ฐานะฯ31ส.ค.57(งบเดือน)'!Print_Area</vt:lpstr>
      <vt:lpstr>'ฐานะฯ31ส.ค.58(งบเดือน)'!Print_Area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ALRO</cp:lastModifiedBy>
  <cp:lastPrinted>2015-11-10T11:00:54Z</cp:lastPrinted>
  <dcterms:created xsi:type="dcterms:W3CDTF">2014-04-09T04:18:48Z</dcterms:created>
  <dcterms:modified xsi:type="dcterms:W3CDTF">2015-11-10T11:00:57Z</dcterms:modified>
</cp:coreProperties>
</file>